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Your plan" state="visible" r:id="rId4"/>
    <sheet sheetId="2" name="The one number that matters" state="visible" r:id="rId5"/>
    <sheet sheetId="3" name="Year by year" state="visible" r:id="rId6"/>
    <sheet sheetId="4" name="NPS annuity lock" state="visible" r:id="rId7"/>
    <sheet sheetId="5" name="Notes and sources" state="visible" r:id="rId8"/>
  </sheets>
  <calcPr calcId="171027"/>
</workbook>
</file>

<file path=xl/comments1.xml><?xml version="1.0" encoding="utf-8"?>
<comments xmlns="http://schemas.openxmlformats.org/spreadsheetml/2006/main">
  <authors>
    <author>Author</author>
  </authors>
  <commentList>
    <comment ref="B6" authorId="0">
      <text>
        <r>
          <t>Whole years.</t>
        </r>
      </text>
    </comment>
    <comment ref="B8" authorId="0">
      <text>
        <r>
          <t>Life expectancy at 60 in India is 18.6 years, to about 79 (SRS Abridged Life Tables 2020-24, Registrar General). Roughly half of people outlive their own life expectancy, which is why 90 is the default here rather than 79.</t>
        </r>
      </text>
    </comment>
    <comment ref="B10" authorId="0">
      <text>
        <r>
          <t>Defaulted to the Reserve Bank of India's statutory 4% target, band 2% to 6%, retained 25 March 2026 for 1 April 2026 to 31 March 2031. July 2026 CPI was 4.45%.</t>
        </r>
      </text>
    </comment>
    <comment ref="B12" authorId="0">
      <text>
        <r>
          <t>This is the input the answer actually turns on. See the sheet called The one number that matters.</t>
        </r>
      </text>
    </comment>
    <comment ref="B15" authorId="0">
      <text>
        <r>
          <t>Used on the NPS annuity lock sheet. Leave at 0 if none.</t>
        </r>
      </text>
    </comment>
  </commentList>
</comments>
</file>

<file path=xl/sharedStrings.xml><?xml version="1.0" encoding="utf-8"?>
<sst xmlns="http://schemas.openxmlformats.org/spreadsheetml/2006/main" count="101" uniqueCount="96">
  <si>
    <t>Retirement corpus calculator</t>
  </si>
  <si>
    <t>Change any yellow cell. Everything else recalculates. The Money Decoded, themoneydecoded.com</t>
  </si>
  <si>
    <t>What you tell it</t>
  </si>
  <si>
    <t>Why this book exists</t>
  </si>
  <si>
    <t>Your age today</t>
  </si>
  <si>
    <t>The problem</t>
  </si>
  <si>
    <t>Age you plan to stop working</t>
  </si>
  <si>
    <t>We read more than thirty Indian pages answering this question on 27 August 2026. The lowest said 58.18 lakh. The highest said 21.80 crore.</t>
  </si>
  <si>
    <t>Plan the money to last until age</t>
  </si>
  <si>
    <t>What you spend a month today</t>
  </si>
  <si>
    <t>The cause</t>
  </si>
  <si>
    <t>Inflation you expect</t>
  </si>
  <si>
    <t>Almost all of that spread comes from two inputs that are rarely shown: what the corpus earns after retirement, and how long you plan for.</t>
  </si>
  <si>
    <t>Return before you retire</t>
  </si>
  <si>
    <t>Return AFTER you retire</t>
  </si>
  <si>
    <t>What nobody sources</t>
  </si>
  <si>
    <t>What you have saved already</t>
  </si>
  <si>
    <t>Not one of those pages benchmarked its terminal age against a mortality table. The two that quote a life expectancy quote 72 and 73, which is expectancy at BIRTH, not at 60.</t>
  </si>
  <si>
    <t>What you save each month</t>
  </si>
  <si>
    <t>Share of your corpus sitting in NPS</t>
  </si>
  <si>
    <t>What we use instead</t>
  </si>
  <si>
    <t>Life expectancy at 60 in India is 18.6 years, per the Registrar General's SRS Abridged Life Tables 2020-24. Inflation defaults to the RBI's statutory 4% target.</t>
  </si>
  <si>
    <t>What that means</t>
  </si>
  <si>
    <t>Years until you retire</t>
  </si>
  <si>
    <t>Years the money must last</t>
  </si>
  <si>
    <t>Your first year of retirement will cost</t>
  </si>
  <si>
    <t>Real return, the gap that does the work</t>
  </si>
  <si>
    <t>CORPUS YOU NEED</t>
  </si>
  <si>
    <t>Which is this many times year one's spending</t>
  </si>
  <si>
    <t>On current saving you would reach</t>
  </si>
  <si>
    <t>Short by (negative means ahead)</t>
  </si>
  <si>
    <t>That multiple is an output, not a rule. It falls out of one assumption: what your corpus earns after you stop working. Change cell C12 and watch it move.</t>
  </si>
  <si>
    <t>Same plan. One input moved.</t>
  </si>
  <si>
    <t>Everything comes from the Your plan sheet except the return after retirement, which is set per row.</t>
  </si>
  <si>
    <t>If your corpus earns</t>
  </si>
  <si>
    <t>Real return</t>
  </si>
  <si>
    <t>Corpus you would need</t>
  </si>
  <si>
    <t>Multiple</t>
  </si>
  <si>
    <t>What this row assumes</t>
  </si>
  <si>
    <t>A negative real return. Money in safe deposits after tax often lands here.</t>
  </si>
  <si>
    <t>Barely keeping pace with inflation.</t>
  </si>
  <si>
    <t>Your own assumption from the Your plan sheet.</t>
  </si>
  <si>
    <t>Requires holding real risk well into retirement.</t>
  </si>
  <si>
    <t>Optimistic for a portfolio you are drawing down.</t>
  </si>
  <si>
    <t>The published Indian multiples, 25x and 30x and 33x, get quoted as though they were properties of the country. They are not. Every one of them is a statement about this single rate, usually unstated.</t>
  </si>
  <si>
    <t>And how long you plan for does almost as much</t>
  </si>
  <si>
    <t>If the money must last until age</t>
  </si>
  <si>
    <t/>
  </si>
  <si>
    <t>Note</t>
  </si>
  <si>
    <t>The actuarial average. Half of people outlive it.</t>
  </si>
  <si>
    <t>A plan that does not run out if you are one of the long-lived.</t>
  </si>
  <si>
    <t>Year by year, both phases</t>
  </si>
  <si>
    <t>Column G is your own path. Column H starts from exactly the corpus needed and runs to zero.</t>
  </si>
  <si>
    <t>Read the two balance columns as different questions. G asks what happens to the money you are actually on track to have. H asks what happens to the target itself, and it should land on zero in your final year. If G stays above H, you are ahead of plan.</t>
  </si>
  <si>
    <t>Age</t>
  </si>
  <si>
    <t>Phase</t>
  </si>
  <si>
    <t>Paid in</t>
  </si>
  <si>
    <t>Growth</t>
  </si>
  <si>
    <t>Drawn out</t>
  </si>
  <si>
    <t>Balance, your path</t>
  </si>
  <si>
    <t>Balance, the target</t>
  </si>
  <si>
    <t>The NPS annuity lock</t>
  </si>
  <si>
    <t>Nothing else in the field models this. Set the NPS share on the Your plan sheet, cell C15.</t>
  </si>
  <si>
    <t>What gets locked</t>
  </si>
  <si>
    <t>Your corpus</t>
  </si>
  <si>
    <t xml:space="preserve">For a non-government subscriber the mandatory annuity floor is 20% of accumulated pension wealth. It was cut from 40% by the December 2025 amendment to the PFRDA Exits and Withdrawals regulations. Government sector subscribers stay at 40%, and a premature voluntary exit stays at 80%.
A corpus of 8 lakh or less can be taken entirely as a lump sum. Between 8 and 12 lakh the lump sum is capped at 6 lakh.
PFRDA's own FAQ page still shows the old 40%, and so do at least five of the ranking pages we read.
The lock bites harder than its size suggests, because Indian annuities are almost entirely non-increasing. One unit of non-increasing pension costs roughly 12 times the annual payment. The payment never rises, so inflation eats it at exactly the rate in cell C10 of the Your plan sheet.</t>
  </si>
  <si>
    <t>Share of it in NPS</t>
  </si>
  <si>
    <t>NPS wealth at retirement</t>
  </si>
  <si>
    <t>Locked into an annuity, at the 20% floor</t>
  </si>
  <si>
    <t>Flat pension it buys each year</t>
  </si>
  <si>
    <t>What that flat pension is worth later</t>
  </si>
  <si>
    <t>After this many years</t>
  </si>
  <si>
    <t>Worth in today's money</t>
  </si>
  <si>
    <t>Notes, sources and what this does not do</t>
  </si>
  <si>
    <t>Where the default numbers come from</t>
  </si>
  <si>
    <t>Inflation, 4%</t>
  </si>
  <si>
    <t>The Reserve Bank of India's statutory target, tolerance band 2% to 6%, retained 25 March 2026 for 1 April 2026 to 31 March 2031. A single month's CPI print is noise over a thirty year horizon. July 2026 CPI was 4.45% provisional, rural 4.84% and urban 3.96%, on base 2024=100.</t>
  </si>
  <si>
    <t>Life expectancy</t>
  </si>
  <si>
    <t>18.6 years at age 60 (men 17.5, women 19.8), from the Registrar General's SRS Abridged Life Tables 2020-24, so an average 60 year old reaches about 79. The default here is 90 because roughly half of people outlive their own life expectancy, and because period tables do not project future improvements in mortality.</t>
  </si>
  <si>
    <t>NPS annuity floor, 20%</t>
  </si>
  <si>
    <t>PFRDA (Exits and Withdrawals under the National Pension System) Regulations, as amended December 2025. Non-government subscribers only.</t>
  </si>
  <si>
    <t>Annuity pricing, 12x</t>
  </si>
  <si>
    <t>A typical Indian quote for one unit of non-increasing pension, against roughly 22x for an increasing one, which is effectively unavailable in India.</t>
  </si>
  <si>
    <t>The formula</t>
  </si>
  <si>
    <t>Present value of a stream that starts at your first retired year's spending, grows at inflation and is discounted at your post-retirement return, drawn at the START of each year. That last part matters: a retiree takes the year's money on day one rather than waiting for it.</t>
  </si>
  <si>
    <t>What this workbook deliberately does not do</t>
  </si>
  <si>
    <t>No tax</t>
  </si>
  <si>
    <t>It does not apply tax to withdrawals or to income the corpus earns. Neither does any Indian retirement calculator we could find, but you should know the number you are looking at is pre-tax.</t>
  </si>
  <si>
    <t>No product advice</t>
  </si>
  <si>
    <t>It does not tell you what to hold, in what proportion, at any age. That depends on your tax position, your other income, your dependants and your capacity to tolerate a fall.</t>
  </si>
  <si>
    <t>No medical inflation input</t>
  </si>
  <si>
    <t>The widely repeated 14% to 15% figure has no primary source we could find. Official CPI Health inflation in July 2026 was 1.34%. Credible measured estimates run from about 7% to about 13% and measure different things on different populations.</t>
  </si>
  <si>
    <t>Not a plan</t>
  </si>
  <si>
    <t>It is one method, run on inputs you chose. Change the inputs and the answer changes, which is the whole point.</t>
  </si>
  <si>
    <t>Retirement is a YMYL subject and your own details change the answer. A SEBI-registered investment adviser or a certified financial planner can look at your actual position. A chartered accountant can tell you how the current Income-tax Act 2025 treats each of these withdrawals.</t>
  </si>
  <si>
    <t>Built by The Money Decoded. The live version, with the same model, is at themoneydecoded.com/calculators/retirement-corpus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</si>
</sst>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0"/>
    <numFmt numFmtId="165" formatCode="0.00&quot;%&quot;"/>
    <numFmt numFmtId="166" formatCode="0&quot; years&quot;"/>
    <numFmt numFmtId="167" formatCode="0.0&quot;x&quot;"/>
  </numFmts>
  <fonts count="12" x14ac:knownFonts="1">
    <font>
      <color theme="1"/>
      <family val="2"/>
      <scheme val="minor"/>
      <sz val="11"/>
      <name val="Calibri"/>
    </font>
    <font>
      <b/>
      <color rgb="FF1A0F0A"/>
      <sz val="18"/>
      <name val="Calibri"/>
    </font>
    <font>
      <i/>
      <color rgb="FF7A4F0F"/>
      <sz val="10"/>
      <name val="Calibri"/>
    </font>
    <font>
      <b/>
      <color rgb="FFFFFFFF"/>
      <sz val="11"/>
      <name val="Calibri"/>
    </font>
    <font>
      <color rgb="FF221813"/>
      <sz val="11"/>
      <name val="Calibri"/>
    </font>
    <font>
      <b/>
      <color rgb="FF221813"/>
      <sz val="11"/>
      <name val="Calibri"/>
    </font>
    <font>
      <b/>
      <color rgb="FF9C3D2A"/>
      <sz val="11"/>
      <name val="Calibri"/>
    </font>
    <font>
      <color rgb="FF221813"/>
      <sz val="10"/>
      <name val="Calibri"/>
    </font>
    <font>
      <b/>
      <color rgb="FF9C3D2A"/>
      <sz val="14"/>
      <name val="Calibri"/>
    </font>
    <font>
      <color rgb="FF7A4F0F"/>
      <sz val="10"/>
      <name val="Calibri"/>
    </font>
    <font>
      <b/>
      <color rgb="FFFFFFFF"/>
      <sz val="10"/>
      <name val="Calibri"/>
    </font>
    <font>
      <b/>
      <color rgb="FF5B6E47"/>
      <sz val="11"/>
      <name val="Calibri"/>
    </font>
  </fonts>
  <fills count="8">
    <fill>
      <patternFill patternType="none"/>
    </fill>
    <fill>
      <patternFill patternType="gray125"/>
    </fill>
    <fill>
      <patternFill patternType="solid">
        <fgColor rgb="FFFAF6EE"/>
      </patternFill>
    </fill>
    <fill>
      <patternFill patternType="solid">
        <fgColor rgb="FF9C3D2A"/>
      </patternFill>
    </fill>
    <fill>
      <patternFill patternType="solid">
        <fgColor rgb="FFFFF3C4"/>
      </patternFill>
    </fill>
    <fill>
      <patternFill patternType="solid">
        <fgColor rgb="FFF7F1E5"/>
      </patternFill>
    </fill>
    <fill>
      <patternFill patternType="solid">
        <fgColor rgb="FFF5E5C2"/>
      </patternFill>
    </fill>
    <fill>
      <patternFill patternType="solid">
        <fgColor rgb="FF5B6E47"/>
      </patternFill>
    </fill>
  </fills>
  <borders count="3">
    <border>
      <left/>
      <right/>
      <top/>
      <bottom/>
      <diagonal/>
    </border>
    <border>
      <left style="thin">
        <color rgb="FFD9A441"/>
      </left>
      <right style="thin">
        <color rgb="FFD9A441"/>
      </right>
      <top style="thin">
        <color rgb="FFD9A441"/>
      </top>
      <bottom style="thin">
        <color rgb="FFD9A441"/>
      </bottom>
      <diagonal/>
    </border>
    <border>
      <left style="thin">
        <color rgb="FFE3D5BE"/>
      </left>
      <right style="thin">
        <color rgb="FFE3D5BE"/>
      </right>
      <top style="thin">
        <color rgb="FFE3D5BE"/>
      </top>
      <bottom style="thin">
        <color rgb="FFE3D5BE"/>
      </bottom>
      <diagonal/>
    </border>
  </borders>
  <cellStyleXfs count="1">
    <xf numFmtId="0" fontId="0" fillId="0" borderId="0"/>
  </cellStyleXfs>
  <cellXfs count="32">
    <xf numFmtId="0" fontId="0" fillId="0" borderId="0" xfId="0"/>
    <xf numFmtId="0" fontId="0" fillId="2" borderId="0" xfId="0" applyFill="1"/>
    <xf numFmtId="0" fontId="1" fillId="2" borderId="0" xfId="0" applyFont="1" applyFill="1"/>
    <xf numFmtId="0" fontId="2" fillId="2" borderId="0" xfId="0" applyFont="1" applyFill="1"/>
    <xf numFmtId="0" fontId="3" fillId="3" borderId="0" xfId="0" applyFont="1" applyFill="1" applyAlignment="1">
      <alignment horizontal="left" vertical="center" indent="1"/>
    </xf>
    <xf numFmtId="0" fontId="4" fillId="2" borderId="0" xfId="0" applyFont="1" applyFill="1" applyAlignment="1">
      <alignment vertical="center" indent="1"/>
    </xf>
    <xf numFmtId="1" fontId="5" fillId="4" borderId="1" xfId="0" applyNumberFormat="1" applyFont="1" applyFill="1" applyBorder="1" applyAlignment="1">
      <alignment horizontal="right" vertical="center" indent="1"/>
    </xf>
    <xf numFmtId="0" fontId="6" fillId="2" borderId="0" xfId="0" applyFont="1" applyFill="1"/>
    <xf numFmtId="0" fontId="7" fillId="2" borderId="0" xfId="0" applyFont="1" applyFill="1" applyAlignment="1">
      <alignment vertical="top" wrapText="1"/>
    </xf>
    <xf numFmtId="164" fontId="5" fillId="4" borderId="1" xfId="0" applyNumberFormat="1" applyFont="1" applyFill="1" applyBorder="1" applyAlignment="1">
      <alignment horizontal="right" vertical="center" indent="1"/>
    </xf>
    <xf numFmtId="165" fontId="5" fillId="4" borderId="1" xfId="0" applyNumberFormat="1" applyFont="1" applyFill="1" applyBorder="1" applyAlignment="1">
      <alignment horizontal="right" vertical="center" indent="1"/>
    </xf>
    <xf numFmtId="166" fontId="5" fillId="2" borderId="2" xfId="0" applyNumberFormat="1" applyFont="1" applyFill="1" applyBorder="1" applyAlignment="1">
      <alignment horizontal="right" vertical="center" indent="1"/>
    </xf>
    <xf numFmtId="164" fontId="5" fillId="2" borderId="2" xfId="0" applyNumberFormat="1" applyFont="1" applyFill="1" applyBorder="1" applyAlignment="1">
      <alignment horizontal="right" vertical="center" indent="1"/>
    </xf>
    <xf numFmtId="165" fontId="6" fillId="2" borderId="2" xfId="0" applyNumberFormat="1" applyFont="1" applyFill="1" applyBorder="1" applyAlignment="1">
      <alignment horizontal="right" vertical="center" indent="1"/>
    </xf>
    <xf numFmtId="164" fontId="8" fillId="5" borderId="2" xfId="0" applyNumberFormat="1" applyFont="1" applyFill="1" applyBorder="1" applyAlignment="1">
      <alignment horizontal="right" vertical="center" indent="1"/>
    </xf>
    <xf numFmtId="167" fontId="8" fillId="5" borderId="2" xfId="0" applyNumberFormat="1" applyFont="1" applyFill="1" applyBorder="1" applyAlignment="1">
      <alignment horizontal="right" vertical="center" indent="1"/>
    </xf>
    <xf numFmtId="0" fontId="9" fillId="6" borderId="0" xfId="0" applyFont="1" applyFill="1" applyAlignment="1">
      <alignment vertical="center" wrapText="1" indent="1"/>
    </xf>
    <xf numFmtId="0" fontId="10" fillId="7" borderId="0" xfId="0" applyFont="1" applyFill="1" applyAlignment="1">
      <alignment horizontal="center" vertical="center" wrapText="1"/>
    </xf>
    <xf numFmtId="165" fontId="5" fillId="2" borderId="2" xfId="0" applyNumberFormat="1" applyFont="1" applyFill="1" applyBorder="1" applyAlignment="1">
      <alignment horizontal="right" vertical="center" indent="1"/>
    </xf>
    <xf numFmtId="167" fontId="5" fillId="2" borderId="2" xfId="0" applyNumberFormat="1" applyFont="1" applyFill="1" applyBorder="1" applyAlignment="1">
      <alignment horizontal="right" vertical="center" indent="1"/>
    </xf>
    <xf numFmtId="0" fontId="2" fillId="2" borderId="0" xfId="0" applyFont="1" applyFill="1" applyAlignment="1">
      <alignment vertical="center" wrapText="1" indent="1"/>
    </xf>
    <xf numFmtId="165" fontId="5" fillId="6" borderId="2" xfId="0" applyNumberFormat="1" applyFont="1" applyFill="1" applyBorder="1" applyAlignment="1">
      <alignment horizontal="right" vertical="center" indent="1"/>
    </xf>
    <xf numFmtId="164" fontId="6" fillId="2" borderId="2" xfId="0" applyNumberFormat="1" applyFont="1" applyFill="1" applyBorder="1" applyAlignment="1">
      <alignment horizontal="right" vertical="center" indent="1"/>
    </xf>
    <xf numFmtId="167" fontId="6" fillId="2" borderId="2" xfId="0" applyNumberFormat="1" applyFont="1" applyFill="1" applyBorder="1" applyAlignment="1">
      <alignment horizontal="right" vertical="center" indent="1"/>
    </xf>
    <xf numFmtId="1" fontId="5" fillId="6" borderId="2" xfId="0" applyNumberFormat="1" applyFont="1" applyFill="1" applyBorder="1" applyAlignment="1">
      <alignment horizontal="right" indent="1"/>
    </xf>
    <xf numFmtId="1" fontId="5" fillId="2" borderId="2" xfId="0" applyNumberFormat="1" applyFont="1" applyFill="1" applyBorder="1" applyAlignment="1">
      <alignment horizontal="right" indent="1"/>
    </xf>
    <xf numFmtId="1" fontId="5" fillId="2" borderId="2" xfId="0" applyNumberFormat="1" applyFont="1" applyFill="1" applyBorder="1" applyAlignment="1">
      <alignment horizontal="right" vertical="center" indent="1"/>
    </xf>
    <xf numFmtId="0" fontId="7" fillId="2" borderId="2" xfId="0" applyFont="1" applyFill="1" applyBorder="1" applyAlignment="1">
      <alignment horizontal="center"/>
    </xf>
    <xf numFmtId="0" fontId="7" fillId="5" borderId="0" xfId="0" applyFont="1" applyFill="1" applyAlignment="1">
      <alignment vertical="top" wrapText="1"/>
    </xf>
    <xf numFmtId="166" fontId="4" fillId="2" borderId="2" xfId="0" applyNumberFormat="1" applyFont="1" applyFill="1" applyBorder="1" applyAlignment="1">
      <alignment horizontal="right" indent="1"/>
    </xf>
    <xf numFmtId="0" fontId="6" fillId="2" borderId="0" xfId="0" applyFont="1" applyFill="1" applyAlignment="1">
      <alignment vertical="top" indent="1"/>
    </xf>
    <xf numFmtId="0" fontId="11" fillId="2" borderId="0" xfId="0" applyFont="1" applyFill="1" applyAlignment="1">
      <alignment vertical="top"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3D2A"/>
  </sheetPr>
  <dimension ref="A1:H33"/>
  <sheetViews>
    <sheetView workbookViewId="0" showGridLines="0"/>
  </sheetViews>
  <sheetFormatPr defaultRowHeight="18" outlineLevelRow="0" outlineLevelCol="0" x14ac:dyDescent="55" customHeight="1"/>
  <cols>
    <col min="1" max="1" width="3" customWidth="1"/>
    <col min="2" max="2" width="46" customWidth="1"/>
    <col min="3" max="3" width="18" customWidth="1"/>
    <col min="4" max="4" width="4" customWidth="1"/>
    <col min="5" max="5" width="40" customWidth="1"/>
    <col min="6" max="6" width="20" customWidth="1"/>
    <col min="7" max="7" width="3" customWidth="1"/>
  </cols>
  <sheetData>
    <row r="1" spans="1:8" x14ac:dyDescent="0.25">
      <c r="A1" s="1"/>
      <c r="B1" s="1"/>
      <c r="C1" s="1"/>
      <c r="D1" s="1"/>
      <c r="E1" s="1"/>
      <c r="F1" s="1"/>
      <c r="G1" s="1"/>
      <c r="H1" s="1"/>
    </row>
    <row r="2" ht="26" customHeight="1" spans="1:8" x14ac:dyDescent="0.25">
      <c r="A2" s="1"/>
      <c r="B2" s="2" t="s">
        <v>0</v>
      </c>
      <c r="C2" s="1"/>
      <c r="D2" s="1"/>
      <c r="E2" s="1"/>
      <c r="F2" s="1"/>
      <c r="G2" s="1"/>
      <c r="H2" s="1"/>
    </row>
    <row r="3" ht="15" customHeight="1" spans="1:8" x14ac:dyDescent="0.25">
      <c r="A3" s="1"/>
      <c r="B3" s="3" t="s">
        <v>1</v>
      </c>
      <c r="C3" s="1"/>
      <c r="D3" s="1"/>
      <c r="E3" s="1"/>
      <c r="F3" s="1"/>
      <c r="G3" s="1"/>
      <c r="H3" s="1"/>
    </row>
    <row r="4" spans="1:8" x14ac:dyDescent="0.25">
      <c r="A4" s="1"/>
      <c r="B4" s="1"/>
      <c r="C4" s="1"/>
      <c r="D4" s="1"/>
      <c r="E4" s="1"/>
      <c r="F4" s="1"/>
      <c r="G4" s="1"/>
      <c r="H4" s="1"/>
    </row>
    <row r="5" ht="22" customHeight="1" spans="1:8" x14ac:dyDescent="0.25">
      <c r="A5" s="1"/>
      <c r="B5" s="4" t="s">
        <v>2</v>
      </c>
      <c r="C5" s="4"/>
      <c r="D5" s="1"/>
      <c r="E5" s="4" t="s">
        <v>3</v>
      </c>
      <c r="F5" s="4"/>
      <c r="G5" s="1"/>
      <c r="H5" s="1"/>
    </row>
    <row r="6" spans="1:8" x14ac:dyDescent="0.25">
      <c r="A6" s="1"/>
      <c r="B6" s="5" t="s">
        <v>4</v>
      </c>
      <c r="C6" s="6">
        <v>35</v>
      </c>
      <c r="D6" s="1"/>
      <c r="E6" s="7" t="s">
        <v>5</v>
      </c>
      <c r="F6" s="1"/>
      <c r="G6" s="1"/>
      <c r="H6" s="1"/>
    </row>
    <row r="7" ht="44" customHeight="1" spans="1:8" x14ac:dyDescent="0.25">
      <c r="A7" s="1"/>
      <c r="B7" s="5" t="s">
        <v>6</v>
      </c>
      <c r="C7" s="6">
        <v>60</v>
      </c>
      <c r="D7" s="1"/>
      <c r="E7" s="8" t="s">
        <v>7</v>
      </c>
      <c r="F7" s="8"/>
      <c r="G7" s="1"/>
      <c r="H7" s="1"/>
    </row>
    <row r="8" spans="1:8" x14ac:dyDescent="0.25">
      <c r="A8" s="1"/>
      <c r="B8" s="5" t="s">
        <v>8</v>
      </c>
      <c r="C8" s="6">
        <v>90</v>
      </c>
      <c r="D8" s="1"/>
      <c r="E8" s="1"/>
      <c r="F8" s="1"/>
      <c r="G8" s="1"/>
      <c r="H8" s="1"/>
    </row>
    <row r="9" spans="1:8" x14ac:dyDescent="0.25">
      <c r="A9" s="1"/>
      <c r="B9" s="5" t="s">
        <v>9</v>
      </c>
      <c r="C9" s="9">
        <v>50000</v>
      </c>
      <c r="D9" s="1"/>
      <c r="E9" s="7" t="s">
        <v>10</v>
      </c>
      <c r="F9" s="1"/>
      <c r="G9" s="1"/>
      <c r="H9" s="1"/>
    </row>
    <row r="10" ht="44" customHeight="1" spans="1:8" x14ac:dyDescent="0.25">
      <c r="A10" s="1"/>
      <c r="B10" s="5" t="s">
        <v>11</v>
      </c>
      <c r="C10" s="10">
        <v>4</v>
      </c>
      <c r="D10" s="1"/>
      <c r="E10" s="8" t="s">
        <v>12</v>
      </c>
      <c r="F10" s="8"/>
      <c r="G10" s="1"/>
      <c r="H10" s="1"/>
    </row>
    <row r="11" spans="1:8" x14ac:dyDescent="0.25">
      <c r="A11" s="1"/>
      <c r="B11" s="5" t="s">
        <v>13</v>
      </c>
      <c r="C11" s="10">
        <v>11</v>
      </c>
      <c r="D11" s="1"/>
      <c r="E11" s="1"/>
      <c r="F11" s="1"/>
      <c r="G11" s="1"/>
      <c r="H11" s="1"/>
    </row>
    <row r="12" spans="1:8" x14ac:dyDescent="0.25">
      <c r="A12" s="1"/>
      <c r="B12" s="5" t="s">
        <v>14</v>
      </c>
      <c r="C12" s="10">
        <v>6</v>
      </c>
      <c r="D12" s="1"/>
      <c r="E12" s="7" t="s">
        <v>15</v>
      </c>
      <c r="F12" s="1"/>
      <c r="G12" s="1"/>
      <c r="H12" s="1"/>
    </row>
    <row r="13" ht="44" customHeight="1" spans="1:8" x14ac:dyDescent="0.25">
      <c r="A13" s="1"/>
      <c r="B13" s="5" t="s">
        <v>16</v>
      </c>
      <c r="C13" s="9">
        <v>1000000</v>
      </c>
      <c r="D13" s="1"/>
      <c r="E13" s="8" t="s">
        <v>17</v>
      </c>
      <c r="F13" s="8"/>
      <c r="G13" s="1"/>
      <c r="H13" s="1"/>
    </row>
    <row r="14" spans="1:8" x14ac:dyDescent="0.25">
      <c r="A14" s="1"/>
      <c r="B14" s="5" t="s">
        <v>18</v>
      </c>
      <c r="C14" s="9">
        <v>25000</v>
      </c>
      <c r="D14" s="1"/>
      <c r="E14" s="1"/>
      <c r="F14" s="1"/>
      <c r="G14" s="1"/>
      <c r="H14" s="1"/>
    </row>
    <row r="15" spans="1:8" x14ac:dyDescent="0.25">
      <c r="A15" s="1"/>
      <c r="B15" s="5" t="s">
        <v>19</v>
      </c>
      <c r="C15" s="10">
        <v>0</v>
      </c>
      <c r="D15" s="1"/>
      <c r="E15" s="7" t="s">
        <v>20</v>
      </c>
      <c r="F15" s="1"/>
      <c r="G15" s="1"/>
      <c r="H15" s="1"/>
    </row>
    <row r="16" ht="44" customHeight="1" spans="1:8" x14ac:dyDescent="0.25">
      <c r="A16" s="1"/>
      <c r="B16" s="1"/>
      <c r="C16" s="1"/>
      <c r="D16" s="1"/>
      <c r="E16" s="8" t="s">
        <v>21</v>
      </c>
      <c r="F16" s="8"/>
      <c r="G16" s="1"/>
      <c r="H16" s="1"/>
    </row>
    <row r="17" ht="22" customHeight="1" spans="1:8" x14ac:dyDescent="0.25">
      <c r="A17" s="1"/>
      <c r="B17" s="4" t="s">
        <v>22</v>
      </c>
      <c r="C17" s="4"/>
      <c r="D17" s="1"/>
      <c r="E17" s="1"/>
      <c r="F17" s="1"/>
      <c r="G17" s="1"/>
      <c r="H17" s="1"/>
    </row>
    <row r="18" spans="1:8" x14ac:dyDescent="0.25">
      <c r="A18" s="1"/>
      <c r="B18" s="5" t="s">
        <v>23</v>
      </c>
      <c r="C18" s="11">
        <f>MAX(0,C7-C6)</f>
      </c>
      <c r="D18" s="1"/>
      <c r="E18" s="1"/>
      <c r="F18" s="1"/>
      <c r="G18" s="1"/>
      <c r="H18" s="1"/>
    </row>
    <row r="19" spans="1:8" x14ac:dyDescent="0.25">
      <c r="A19" s="1"/>
      <c r="B19" s="5" t="s">
        <v>24</v>
      </c>
      <c r="C19" s="11">
        <f>MAX(0,C8-C7)</f>
      </c>
      <c r="D19" s="1"/>
      <c r="E19" s="1"/>
      <c r="F19" s="1"/>
      <c r="G19" s="1"/>
      <c r="H19" s="1"/>
    </row>
    <row r="20" spans="1:8" x14ac:dyDescent="0.25">
      <c r="A20" s="1"/>
      <c r="B20" s="5" t="s">
        <v>25</v>
      </c>
      <c r="C20" s="12">
        <f>C9*12*(1+(C10/100))^MAX(0,C7-C6)</f>
      </c>
      <c r="D20" s="1"/>
      <c r="E20" s="1"/>
      <c r="F20" s="1"/>
      <c r="G20" s="1"/>
      <c r="H20" s="1"/>
    </row>
    <row r="21" spans="1:8" x14ac:dyDescent="0.25">
      <c r="A21" s="1"/>
      <c r="B21" s="5" t="s">
        <v>26</v>
      </c>
      <c r="C21" s="13">
        <f>((1+(C12/100))/(1+(C10/100))-1)*100</f>
      </c>
      <c r="D21" s="1"/>
      <c r="E21" s="1"/>
      <c r="F21" s="1"/>
      <c r="G21" s="1"/>
      <c r="H21" s="1"/>
    </row>
    <row r="22" ht="24" customHeight="1" spans="1:8" x14ac:dyDescent="0.25">
      <c r="A22" s="1"/>
      <c r="B22" s="5" t="s">
        <v>27</v>
      </c>
      <c r="C22" s="14">
        <f>IF(ABS(((1+(C12/100))/(1+(C10/100))-1))&lt;0.000000001,C9*12*(1+(C10/100))^MAX(0,C7-C6)*MAX(0,C8-C7),C9*12*(1+(C10/100))^MAX(0,C7-C6)*((1-(1+((1+(C12/100))/(1+(C10/100))-1))^-MAX(0,C8-C7))/((1+(C12/100))/(1+(C10/100))-1))*(1+((1+(C12/100))/(1+(C10/100))-1)))</f>
      </c>
      <c r="D22" s="1"/>
      <c r="E22" s="1"/>
      <c r="F22" s="1"/>
      <c r="G22" s="1"/>
      <c r="H22" s="1"/>
    </row>
    <row r="23" ht="24" customHeight="1" spans="1:8" x14ac:dyDescent="0.25">
      <c r="A23" s="1"/>
      <c r="B23" s="5" t="s">
        <v>28</v>
      </c>
      <c r="C23" s="15">
        <f>IF(C9*12*(1+(C10/100))^MAX(0,C7-C6)=0,0,(IF(ABS(((1+(C12/100))/(1+(C10/100))-1))&lt;0.000000001,C9*12*(1+(C10/100))^MAX(0,C7-C6)*MAX(0,C8-C7),C9*12*(1+(C10/100))^MAX(0,C7-C6)*((1-(1+((1+(C12/100))/(1+(C10/100))-1))^-MAX(0,C8-C7))/((1+(C12/100))/(1+(C10/100))-1))*(1+((1+(C12/100))/(1+(C10/100))-1))))/(C9*12*(1+(C10/100))^MAX(0,C7-C6)))</f>
      </c>
      <c r="D23" s="1"/>
      <c r="E23" s="1"/>
      <c r="F23" s="1"/>
      <c r="G23" s="1"/>
      <c r="H23" s="1"/>
    </row>
    <row r="24" spans="1:8" x14ac:dyDescent="0.25">
      <c r="A24" s="1"/>
      <c r="B24" s="5" t="s">
        <v>29</v>
      </c>
      <c r="C24" s="12">
        <f>C13*(1+((1+C11/100)^(1/12)-1))^ROUND(MAX(0,C7-C6)*12,0)+IF(((1+C11/100)^(1/12)-1)=0,C14*ROUND(MAX(0,C7-C6)*12,0),C14*(((1+((1+C11/100)^(1/12)-1))^ROUND(MAX(0,C7-C6)*12,0)-1)/((1+C11/100)^(1/12)-1))*(1+((1+C11/100)^(1/12)-1)))</f>
      </c>
      <c r="D24" s="1"/>
      <c r="E24" s="1"/>
      <c r="F24" s="1"/>
      <c r="G24" s="1"/>
      <c r="H24" s="1"/>
    </row>
    <row r="25" spans="1:8" x14ac:dyDescent="0.25">
      <c r="A25" s="1"/>
      <c r="B25" s="5" t="s">
        <v>30</v>
      </c>
      <c r="C25" s="12">
        <f>(IF(ABS(((1+(C12/100))/(1+(C10/100))-1))&lt;0.000000001,C9*12*(1+(C10/100))^MAX(0,C7-C6)*MAX(0,C8-C7),C9*12*(1+(C10/100))^MAX(0,C7-C6)*((1-(1+((1+(C12/100))/(1+(C10/100))-1))^-MAX(0,C8-C7))/((1+(C12/100))/(1+(C10/100))-1))*(1+((1+(C12/100))/(1+(C10/100))-1))))-(C13*(1+((1+C11/100)^(1/12)-1))^ROUND(MAX(0,C7-C6)*12,0)+IF(((1+C11/100)^(1/12)-1)=0,C14*ROUND(MAX(0,C7-C6)*12,0),C14*(((1+((1+C11/100)^(1/12)-1))^ROUND(MAX(0,C7-C6)*12,0)-1)/((1+C11/100)^(1/12)-1))*(1+((1+C11/100)^(1/12)-1))))</f>
      </c>
      <c r="D25" s="1"/>
      <c r="E25" s="1"/>
      <c r="F25" s="1"/>
      <c r="G25" s="1"/>
      <c r="H25" s="1"/>
    </row>
    <row r="26" spans="1:8" x14ac:dyDescent="0.25">
      <c r="A26" s="1"/>
      <c r="B26" s="1"/>
      <c r="C26" s="1"/>
      <c r="D26" s="1"/>
      <c r="E26" s="1"/>
      <c r="F26" s="1"/>
      <c r="G26" s="1"/>
      <c r="H26" s="1"/>
    </row>
    <row r="27" ht="34" customHeight="1" spans="1:8" x14ac:dyDescent="0.25">
      <c r="A27" s="1"/>
      <c r="B27" s="16" t="s">
        <v>31</v>
      </c>
      <c r="C27" s="16"/>
      <c r="D27" s="1"/>
      <c r="E27" s="1"/>
      <c r="F27" s="1"/>
      <c r="G27" s="1"/>
      <c r="H27" s="1"/>
    </row>
    <row r="28" spans="1:8" x14ac:dyDescent="0.25">
      <c r="A28" s="1"/>
      <c r="B28" s="1"/>
      <c r="C28" s="1"/>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sheetData>
  <mergeCells count="8">
    <mergeCell ref="B5:C5"/>
    <mergeCell ref="E5:F5"/>
    <mergeCell ref="E7:F7"/>
    <mergeCell ref="E10:F10"/>
    <mergeCell ref="E13:F13"/>
    <mergeCell ref="E16:F16"/>
    <mergeCell ref="B17:C17"/>
    <mergeCell ref="B27:C27"/>
  </mergeCells>
  <pageMargins left="0.7" right="0.7" top="0.75" bottom="0.75" header="0.3" footer="0.3"/>
  <pageSetup orientation="portrait" horizontalDpi="4294967295" verticalDpi="4294967295" scale="100" fitToWidth="1" fitToHeight="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6E47"/>
  </sheetPr>
  <dimension ref="A1:H26"/>
  <sheetViews>
    <sheetView workbookViewId="0" showGridLines="0"/>
  </sheetViews>
  <sheetFormatPr defaultRowHeight="15" outlineLevelRow="0" outlineLevelCol="0" x14ac:dyDescent="55"/>
  <cols>
    <col min="1" max="1" width="3" customWidth="1"/>
    <col min="2" max="2" width="22" customWidth="1"/>
    <col min="3" max="3" width="18" customWidth="1"/>
    <col min="4" max="4" width="22" customWidth="1"/>
    <col min="5" max="5" width="16" customWidth="1"/>
    <col min="6" max="6" width="44" customWidth="1"/>
    <col min="7" max="7" width="3" customWidth="1"/>
  </cols>
  <sheetData>
    <row r="1" spans="1:8" x14ac:dyDescent="0.25">
      <c r="A1" s="1"/>
      <c r="B1" s="1"/>
      <c r="C1" s="1"/>
      <c r="D1" s="1"/>
      <c r="E1" s="1"/>
      <c r="F1" s="1"/>
      <c r="G1" s="1"/>
      <c r="H1" s="1"/>
    </row>
    <row r="2" ht="26" customHeight="1" spans="1:8" x14ac:dyDescent="0.25">
      <c r="A2" s="1"/>
      <c r="B2" s="2" t="s">
        <v>32</v>
      </c>
      <c r="C2" s="1"/>
      <c r="D2" s="1"/>
      <c r="E2" s="1"/>
      <c r="F2" s="1"/>
      <c r="G2" s="1"/>
      <c r="H2" s="1"/>
    </row>
    <row r="3" ht="15" customHeight="1" spans="1:8" x14ac:dyDescent="0.25">
      <c r="A3" s="1"/>
      <c r="B3" s="3" t="s">
        <v>33</v>
      </c>
      <c r="C3" s="1"/>
      <c r="D3" s="1"/>
      <c r="E3" s="1"/>
      <c r="F3" s="1"/>
      <c r="G3" s="1"/>
      <c r="H3" s="1"/>
    </row>
    <row r="4" spans="1:8" x14ac:dyDescent="0.25">
      <c r="A4" s="1"/>
      <c r="B4" s="1"/>
      <c r="C4" s="1"/>
      <c r="D4" s="1"/>
      <c r="E4" s="1"/>
      <c r="F4" s="1"/>
      <c r="G4" s="1"/>
      <c r="H4" s="1"/>
    </row>
    <row r="5" ht="30" customHeight="1" spans="1:8" x14ac:dyDescent="0.25">
      <c r="A5" s="1"/>
      <c r="B5" s="17" t="s">
        <v>34</v>
      </c>
      <c r="C5" s="17" t="s">
        <v>35</v>
      </c>
      <c r="D5" s="17" t="s">
        <v>36</v>
      </c>
      <c r="E5" s="17" t="s">
        <v>37</v>
      </c>
      <c r="F5" s="17" t="s">
        <v>38</v>
      </c>
      <c r="G5" s="1"/>
      <c r="H5" s="1"/>
    </row>
    <row r="6" ht="30" customHeight="1" spans="1:8" x14ac:dyDescent="0.25">
      <c r="A6" s="1"/>
      <c r="B6" s="18">
        <f>'Your plan'!C12+-3</f>
      </c>
      <c r="C6" s="18">
        <f>((1+('Your plan'!C12+-3)/100)/(1+'Your plan'!C10/100)-1)*100</f>
      </c>
      <c r="D6" s="12">
        <f>IF(ABS(((1+('Your plan'!C12+-3)/100)/(1+'Your plan'!C10/100)-1))&lt;0.000000001,('Your plan'!C9*12*(1+'Your plan'!C10/100)^MAX(0,'Your plan'!C7-'Your plan'!C6))*MAX(0,'Your plan'!C8-'Your plan'!C7),('Your plan'!C9*12*(1+'Your plan'!C10/100)^MAX(0,'Your plan'!C7-'Your plan'!C6))*((1-(1+((1+('Your plan'!C12+-3)/100)/(1+'Your plan'!C10/100)-1))^-MAX(0,'Your plan'!C8-'Your plan'!C7))/((1+('Your plan'!C12+-3)/100)/(1+'Your plan'!C10/100)-1))*(1+((1+('Your plan'!C12+-3)/100)/(1+'Your plan'!C10/100)-1)))</f>
      </c>
      <c r="E6" s="19">
        <f>IF(('Your plan'!C9*12*(1+'Your plan'!C10/100)^MAX(0,'Your plan'!C7-'Your plan'!C6))=0,0,(IF(ABS(((1+('Your plan'!C12+-3)/100)/(1+'Your plan'!C10/100)-1))&lt;0.000000001,('Your plan'!C9*12*(1+'Your plan'!C10/100)^MAX(0,'Your plan'!C7-'Your plan'!C6))*MAX(0,'Your plan'!C8-'Your plan'!C7),('Your plan'!C9*12*(1+'Your plan'!C10/100)^MAX(0,'Your plan'!C7-'Your plan'!C6))*((1-(1+((1+('Your plan'!C12+-3)/100)/(1+'Your plan'!C10/100)-1))^-MAX(0,'Your plan'!C8-'Your plan'!C7))/((1+('Your plan'!C12+-3)/100)/(1+'Your plan'!C10/100)-1))*(1+((1+('Your plan'!C12+-3)/100)/(1+'Your plan'!C10/100)-1))))/('Your plan'!C9*12*(1+'Your plan'!C10/100)^MAX(0,'Your plan'!C7-'Your plan'!C6)))</f>
      </c>
      <c r="F6" s="20" t="s">
        <v>39</v>
      </c>
      <c r="G6" s="1"/>
      <c r="H6" s="1"/>
    </row>
    <row r="7" ht="30" customHeight="1" spans="1:8" x14ac:dyDescent="0.25">
      <c r="A7" s="1"/>
      <c r="B7" s="18">
        <f>'Your plan'!C12+-1.5</f>
      </c>
      <c r="C7" s="18">
        <f>((1+('Your plan'!C12+-1.5)/100)/(1+'Your plan'!C10/100)-1)*100</f>
      </c>
      <c r="D7" s="12">
        <f>IF(ABS(((1+('Your plan'!C12+-1.5)/100)/(1+'Your plan'!C10/100)-1))&lt;0.000000001,('Your plan'!C9*12*(1+'Your plan'!C10/100)^MAX(0,'Your plan'!C7-'Your plan'!C6))*MAX(0,'Your plan'!C8-'Your plan'!C7),('Your plan'!C9*12*(1+'Your plan'!C10/100)^MAX(0,'Your plan'!C7-'Your plan'!C6))*((1-(1+((1+('Your plan'!C12+-1.5)/100)/(1+'Your plan'!C10/100)-1))^-MAX(0,'Your plan'!C8-'Your plan'!C7))/((1+('Your plan'!C12+-1.5)/100)/(1+'Your plan'!C10/100)-1))*(1+((1+('Your plan'!C12+-1.5)/100)/(1+'Your plan'!C10/100)-1)))</f>
      </c>
      <c r="E7" s="19">
        <f>IF(('Your plan'!C9*12*(1+'Your plan'!C10/100)^MAX(0,'Your plan'!C7-'Your plan'!C6))=0,0,(IF(ABS(((1+('Your plan'!C12+-1.5)/100)/(1+'Your plan'!C10/100)-1))&lt;0.000000001,('Your plan'!C9*12*(1+'Your plan'!C10/100)^MAX(0,'Your plan'!C7-'Your plan'!C6))*MAX(0,'Your plan'!C8-'Your plan'!C7),('Your plan'!C9*12*(1+'Your plan'!C10/100)^MAX(0,'Your plan'!C7-'Your plan'!C6))*((1-(1+((1+('Your plan'!C12+-1.5)/100)/(1+'Your plan'!C10/100)-1))^-MAX(0,'Your plan'!C8-'Your plan'!C7))/((1+('Your plan'!C12+-1.5)/100)/(1+'Your plan'!C10/100)-1))*(1+((1+('Your plan'!C12+-1.5)/100)/(1+'Your plan'!C10/100)-1))))/('Your plan'!C9*12*(1+'Your plan'!C10/100)^MAX(0,'Your plan'!C7-'Your plan'!C6)))</f>
      </c>
      <c r="F7" s="20" t="s">
        <v>40</v>
      </c>
      <c r="G7" s="1"/>
      <c r="H7" s="1"/>
    </row>
    <row r="8" ht="30" customHeight="1" spans="1:8" x14ac:dyDescent="0.25">
      <c r="A8" s="1"/>
      <c r="B8" s="21">
        <f>'Your plan'!C12+0</f>
      </c>
      <c r="C8" s="18">
        <f>((1+('Your plan'!C12+0)/100)/(1+'Your plan'!C10/100)-1)*100</f>
      </c>
      <c r="D8" s="22">
        <f>IF(ABS(((1+('Your plan'!C12+0)/100)/(1+'Your plan'!C10/100)-1))&lt;0.000000001,('Your plan'!C9*12*(1+'Your plan'!C10/100)^MAX(0,'Your plan'!C7-'Your plan'!C6))*MAX(0,'Your plan'!C8-'Your plan'!C7),('Your plan'!C9*12*(1+'Your plan'!C10/100)^MAX(0,'Your plan'!C7-'Your plan'!C6))*((1-(1+((1+('Your plan'!C12+0)/100)/(1+'Your plan'!C10/100)-1))^-MAX(0,'Your plan'!C8-'Your plan'!C7))/((1+('Your plan'!C12+0)/100)/(1+'Your plan'!C10/100)-1))*(1+((1+('Your plan'!C12+0)/100)/(1+'Your plan'!C10/100)-1)))</f>
      </c>
      <c r="E8" s="23">
        <f>IF(('Your plan'!C9*12*(1+'Your plan'!C10/100)^MAX(0,'Your plan'!C7-'Your plan'!C6))=0,0,(IF(ABS(((1+('Your plan'!C12+0)/100)/(1+'Your plan'!C10/100)-1))&lt;0.000000001,('Your plan'!C9*12*(1+'Your plan'!C10/100)^MAX(0,'Your plan'!C7-'Your plan'!C6))*MAX(0,'Your plan'!C8-'Your plan'!C7),('Your plan'!C9*12*(1+'Your plan'!C10/100)^MAX(0,'Your plan'!C7-'Your plan'!C6))*((1-(1+((1+('Your plan'!C12+0)/100)/(1+'Your plan'!C10/100)-1))^-MAX(0,'Your plan'!C8-'Your plan'!C7))/((1+('Your plan'!C12+0)/100)/(1+'Your plan'!C10/100)-1))*(1+((1+('Your plan'!C12+0)/100)/(1+'Your plan'!C10/100)-1))))/('Your plan'!C9*12*(1+'Your plan'!C10/100)^MAX(0,'Your plan'!C7-'Your plan'!C6)))</f>
      </c>
      <c r="F8" s="20" t="s">
        <v>41</v>
      </c>
      <c r="G8" s="1"/>
      <c r="H8" s="1"/>
    </row>
    <row r="9" ht="30" customHeight="1" spans="1:8" x14ac:dyDescent="0.25">
      <c r="A9" s="1"/>
      <c r="B9" s="18">
        <f>'Your plan'!C12+1.5</f>
      </c>
      <c r="C9" s="18">
        <f>((1+('Your plan'!C12+1.5)/100)/(1+'Your plan'!C10/100)-1)*100</f>
      </c>
      <c r="D9" s="12">
        <f>IF(ABS(((1+('Your plan'!C12+1.5)/100)/(1+'Your plan'!C10/100)-1))&lt;0.000000001,('Your plan'!C9*12*(1+'Your plan'!C10/100)^MAX(0,'Your plan'!C7-'Your plan'!C6))*MAX(0,'Your plan'!C8-'Your plan'!C7),('Your plan'!C9*12*(1+'Your plan'!C10/100)^MAX(0,'Your plan'!C7-'Your plan'!C6))*((1-(1+((1+('Your plan'!C12+1.5)/100)/(1+'Your plan'!C10/100)-1))^-MAX(0,'Your plan'!C8-'Your plan'!C7))/((1+('Your plan'!C12+1.5)/100)/(1+'Your plan'!C10/100)-1))*(1+((1+('Your plan'!C12+1.5)/100)/(1+'Your plan'!C10/100)-1)))</f>
      </c>
      <c r="E9" s="19">
        <f>IF(('Your plan'!C9*12*(1+'Your plan'!C10/100)^MAX(0,'Your plan'!C7-'Your plan'!C6))=0,0,(IF(ABS(((1+('Your plan'!C12+1.5)/100)/(1+'Your plan'!C10/100)-1))&lt;0.000000001,('Your plan'!C9*12*(1+'Your plan'!C10/100)^MAX(0,'Your plan'!C7-'Your plan'!C6))*MAX(0,'Your plan'!C8-'Your plan'!C7),('Your plan'!C9*12*(1+'Your plan'!C10/100)^MAX(0,'Your plan'!C7-'Your plan'!C6))*((1-(1+((1+('Your plan'!C12+1.5)/100)/(1+'Your plan'!C10/100)-1))^-MAX(0,'Your plan'!C8-'Your plan'!C7))/((1+('Your plan'!C12+1.5)/100)/(1+'Your plan'!C10/100)-1))*(1+((1+('Your plan'!C12+1.5)/100)/(1+'Your plan'!C10/100)-1))))/('Your plan'!C9*12*(1+'Your plan'!C10/100)^MAX(0,'Your plan'!C7-'Your plan'!C6)))</f>
      </c>
      <c r="F9" s="20" t="s">
        <v>42</v>
      </c>
      <c r="G9" s="1"/>
      <c r="H9" s="1"/>
    </row>
    <row r="10" ht="30" customHeight="1" spans="1:8" x14ac:dyDescent="0.25">
      <c r="A10" s="1"/>
      <c r="B10" s="18">
        <f>'Your plan'!C12+3</f>
      </c>
      <c r="C10" s="18">
        <f>((1+('Your plan'!C12+3)/100)/(1+'Your plan'!C10/100)-1)*100</f>
      </c>
      <c r="D10" s="12">
        <f>IF(ABS(((1+('Your plan'!C12+3)/100)/(1+'Your plan'!C10/100)-1))&lt;0.000000001,('Your plan'!C9*12*(1+'Your plan'!C10/100)^MAX(0,'Your plan'!C7-'Your plan'!C6))*MAX(0,'Your plan'!C8-'Your plan'!C7),('Your plan'!C9*12*(1+'Your plan'!C10/100)^MAX(0,'Your plan'!C7-'Your plan'!C6))*((1-(1+((1+('Your plan'!C12+3)/100)/(1+'Your plan'!C10/100)-1))^-MAX(0,'Your plan'!C8-'Your plan'!C7))/((1+('Your plan'!C12+3)/100)/(1+'Your plan'!C10/100)-1))*(1+((1+('Your plan'!C12+3)/100)/(1+'Your plan'!C10/100)-1)))</f>
      </c>
      <c r="E10" s="19">
        <f>IF(('Your plan'!C9*12*(1+'Your plan'!C10/100)^MAX(0,'Your plan'!C7-'Your plan'!C6))=0,0,(IF(ABS(((1+('Your plan'!C12+3)/100)/(1+'Your plan'!C10/100)-1))&lt;0.000000001,('Your plan'!C9*12*(1+'Your plan'!C10/100)^MAX(0,'Your plan'!C7-'Your plan'!C6))*MAX(0,'Your plan'!C8-'Your plan'!C7),('Your plan'!C9*12*(1+'Your plan'!C10/100)^MAX(0,'Your plan'!C7-'Your plan'!C6))*((1-(1+((1+('Your plan'!C12+3)/100)/(1+'Your plan'!C10/100)-1))^-MAX(0,'Your plan'!C8-'Your plan'!C7))/((1+('Your plan'!C12+3)/100)/(1+'Your plan'!C10/100)-1))*(1+((1+('Your plan'!C12+3)/100)/(1+'Your plan'!C10/100)-1))))/('Your plan'!C9*12*(1+'Your plan'!C10/100)^MAX(0,'Your plan'!C7-'Your plan'!C6)))</f>
      </c>
      <c r="F10" s="20" t="s">
        <v>43</v>
      </c>
      <c r="G10" s="1"/>
      <c r="H10" s="1"/>
    </row>
    <row r="11" spans="1:8" x14ac:dyDescent="0.25">
      <c r="A11" s="1"/>
      <c r="B11" s="1"/>
      <c r="C11" s="1"/>
      <c r="D11" s="1"/>
      <c r="E11" s="1"/>
      <c r="F11" s="1"/>
      <c r="G11" s="1"/>
      <c r="H11" s="1"/>
    </row>
    <row r="12" ht="34" customHeight="1" spans="1:8" x14ac:dyDescent="0.25">
      <c r="A12" s="1"/>
      <c r="B12" s="16" t="s">
        <v>44</v>
      </c>
      <c r="C12" s="16"/>
      <c r="D12" s="16"/>
      <c r="E12" s="16"/>
      <c r="F12" s="16"/>
      <c r="G12" s="1"/>
      <c r="H12" s="1"/>
    </row>
    <row r="13" spans="1:8" x14ac:dyDescent="0.25">
      <c r="A13" s="1"/>
      <c r="B13" s="1"/>
      <c r="C13" s="1"/>
      <c r="D13" s="1"/>
      <c r="E13" s="1"/>
      <c r="F13" s="1"/>
      <c r="G13" s="1"/>
      <c r="H13" s="1"/>
    </row>
    <row r="14" ht="22" customHeight="1" spans="1:8" x14ac:dyDescent="0.25">
      <c r="A14" s="1"/>
      <c r="B14" s="4" t="s">
        <v>45</v>
      </c>
      <c r="C14" s="4"/>
      <c r="D14" s="4"/>
      <c r="E14" s="4"/>
      <c r="F14" s="4"/>
      <c r="G14" s="1"/>
      <c r="H14" s="1"/>
    </row>
    <row r="15" ht="30" customHeight="1" spans="1:8" x14ac:dyDescent="0.25">
      <c r="A15" s="1"/>
      <c r="B15" s="17" t="s">
        <v>46</v>
      </c>
      <c r="C15" s="17" t="s">
        <v>36</v>
      </c>
      <c r="D15" s="17" t="s">
        <v>37</v>
      </c>
      <c r="E15" s="17" t="s">
        <v>47</v>
      </c>
      <c r="F15" s="17" t="s">
        <v>48</v>
      </c>
      <c r="G15" s="1"/>
      <c r="H15" s="1"/>
    </row>
    <row r="16" spans="1:8" x14ac:dyDescent="0.25">
      <c r="A16" s="1"/>
      <c r="B16" s="24">
        <v>79</v>
      </c>
      <c r="C16" s="12">
        <f>IF(ABS(((1+'Your plan'!C12/100)/(1+'Your plan'!C10/100)-1))&lt;0.000000001,('Your plan'!C9*12*(1+'Your plan'!C10/100)^MAX(0,'Your plan'!C7-'Your plan'!C6))*MAX(0,79-'Your plan'!C7),('Your plan'!C9*12*(1+'Your plan'!C10/100)^MAX(0,'Your plan'!C7-'Your plan'!C6))*((1-(1+((1+'Your plan'!C12/100)/(1+'Your plan'!C10/100)-1))^-MAX(0,79-'Your plan'!C7))/((1+'Your plan'!C12/100)/(1+'Your plan'!C10/100)-1))*(1+((1+'Your plan'!C12/100)/(1+'Your plan'!C10/100)-1)))</f>
      </c>
      <c r="D16" s="19">
        <f>IF(('Your plan'!C9*12*(1+'Your plan'!C10/100)^MAX(0,'Your plan'!C7-'Your plan'!C6))=0,0,(IF(ABS(((1+'Your plan'!C12/100)/(1+'Your plan'!C10/100)-1))&lt;0.000000001,('Your plan'!C9*12*(1+'Your plan'!C10/100)^MAX(0,'Your plan'!C7-'Your plan'!C6))*MAX(0,79-'Your plan'!C7),('Your plan'!C9*12*(1+'Your plan'!C10/100)^MAX(0,'Your plan'!C7-'Your plan'!C6))*((1-(1+((1+'Your plan'!C12/100)/(1+'Your plan'!C10/100)-1))^-MAX(0,79-'Your plan'!C7))/((1+'Your plan'!C12/100)/(1+'Your plan'!C10/100)-1))*(1+((1+'Your plan'!C12/100)/(1+'Your plan'!C10/100)-1))))/('Your plan'!C9*12*(1+'Your plan'!C10/100)^MAX(0,'Your plan'!C7-'Your plan'!C6)))</f>
      </c>
      <c r="E16" s="1"/>
      <c r="F16" s="20" t="s">
        <v>49</v>
      </c>
      <c r="G16" s="1"/>
      <c r="H16" s="1"/>
    </row>
    <row r="17" spans="1:8" x14ac:dyDescent="0.25">
      <c r="A17" s="1"/>
      <c r="B17" s="25">
        <v>85</v>
      </c>
      <c r="C17" s="12">
        <f>IF(ABS(((1+'Your plan'!C12/100)/(1+'Your plan'!C10/100)-1))&lt;0.000000001,('Your plan'!C9*12*(1+'Your plan'!C10/100)^MAX(0,'Your plan'!C7-'Your plan'!C6))*MAX(0,85-'Your plan'!C7),('Your plan'!C9*12*(1+'Your plan'!C10/100)^MAX(0,'Your plan'!C7-'Your plan'!C6))*((1-(1+((1+'Your plan'!C12/100)/(1+'Your plan'!C10/100)-1))^-MAX(0,85-'Your plan'!C7))/((1+'Your plan'!C12/100)/(1+'Your plan'!C10/100)-1))*(1+((1+'Your plan'!C12/100)/(1+'Your plan'!C10/100)-1)))</f>
      </c>
      <c r="D17" s="19">
        <f>IF(('Your plan'!C9*12*(1+'Your plan'!C10/100)^MAX(0,'Your plan'!C7-'Your plan'!C6))=0,0,(IF(ABS(((1+'Your plan'!C12/100)/(1+'Your plan'!C10/100)-1))&lt;0.000000001,('Your plan'!C9*12*(1+'Your plan'!C10/100)^MAX(0,'Your plan'!C7-'Your plan'!C6))*MAX(0,85-'Your plan'!C7),('Your plan'!C9*12*(1+'Your plan'!C10/100)^MAX(0,'Your plan'!C7-'Your plan'!C6))*((1-(1+((1+'Your plan'!C12/100)/(1+'Your plan'!C10/100)-1))^-MAX(0,85-'Your plan'!C7))/((1+'Your plan'!C12/100)/(1+'Your plan'!C10/100)-1))*(1+((1+'Your plan'!C12/100)/(1+'Your plan'!C10/100)-1))))/('Your plan'!C9*12*(1+'Your plan'!C10/100)^MAX(0,'Your plan'!C7-'Your plan'!C6)))</f>
      </c>
      <c r="E17" s="1"/>
      <c r="F17" s="20" t="s">
        <v>47</v>
      </c>
      <c r="G17" s="1"/>
      <c r="H17" s="1"/>
    </row>
    <row r="18" spans="1:8" x14ac:dyDescent="0.25">
      <c r="A18" s="1"/>
      <c r="B18" s="25">
        <v>90</v>
      </c>
      <c r="C18" s="12">
        <f>IF(ABS(((1+'Your plan'!C12/100)/(1+'Your plan'!C10/100)-1))&lt;0.000000001,('Your plan'!C9*12*(1+'Your plan'!C10/100)^MAX(0,'Your plan'!C7-'Your plan'!C6))*MAX(0,90-'Your plan'!C7),('Your plan'!C9*12*(1+'Your plan'!C10/100)^MAX(0,'Your plan'!C7-'Your plan'!C6))*((1-(1+((1+'Your plan'!C12/100)/(1+'Your plan'!C10/100)-1))^-MAX(0,90-'Your plan'!C7))/((1+'Your plan'!C12/100)/(1+'Your plan'!C10/100)-1))*(1+((1+'Your plan'!C12/100)/(1+'Your plan'!C10/100)-1)))</f>
      </c>
      <c r="D18" s="19">
        <f>IF(('Your plan'!C9*12*(1+'Your plan'!C10/100)^MAX(0,'Your plan'!C7-'Your plan'!C6))=0,0,(IF(ABS(((1+'Your plan'!C12/100)/(1+'Your plan'!C10/100)-1))&lt;0.000000001,('Your plan'!C9*12*(1+'Your plan'!C10/100)^MAX(0,'Your plan'!C7-'Your plan'!C6))*MAX(0,90-'Your plan'!C7),('Your plan'!C9*12*(1+'Your plan'!C10/100)^MAX(0,'Your plan'!C7-'Your plan'!C6))*((1-(1+((1+'Your plan'!C12/100)/(1+'Your plan'!C10/100)-1))^-MAX(0,90-'Your plan'!C7))/((1+'Your plan'!C12/100)/(1+'Your plan'!C10/100)-1))*(1+((1+'Your plan'!C12/100)/(1+'Your plan'!C10/100)-1))))/('Your plan'!C9*12*(1+'Your plan'!C10/100)^MAX(0,'Your plan'!C7-'Your plan'!C6)))</f>
      </c>
      <c r="E18" s="1"/>
      <c r="F18" s="20" t="s">
        <v>47</v>
      </c>
      <c r="G18" s="1"/>
      <c r="H18" s="1"/>
    </row>
    <row r="19" spans="1:8" x14ac:dyDescent="0.25">
      <c r="A19" s="1"/>
      <c r="B19" s="25">
        <v>95</v>
      </c>
      <c r="C19" s="12">
        <f>IF(ABS(((1+'Your plan'!C12/100)/(1+'Your plan'!C10/100)-1))&lt;0.000000001,('Your plan'!C9*12*(1+'Your plan'!C10/100)^MAX(0,'Your plan'!C7-'Your plan'!C6))*MAX(0,95-'Your plan'!C7),('Your plan'!C9*12*(1+'Your plan'!C10/100)^MAX(0,'Your plan'!C7-'Your plan'!C6))*((1-(1+((1+'Your plan'!C12/100)/(1+'Your plan'!C10/100)-1))^-MAX(0,95-'Your plan'!C7))/((1+'Your plan'!C12/100)/(1+'Your plan'!C10/100)-1))*(1+((1+'Your plan'!C12/100)/(1+'Your plan'!C10/100)-1)))</f>
      </c>
      <c r="D19" s="19">
        <f>IF(('Your plan'!C9*12*(1+'Your plan'!C10/100)^MAX(0,'Your plan'!C7-'Your plan'!C6))=0,0,(IF(ABS(((1+'Your plan'!C12/100)/(1+'Your plan'!C10/100)-1))&lt;0.000000001,('Your plan'!C9*12*(1+'Your plan'!C10/100)^MAX(0,'Your plan'!C7-'Your plan'!C6))*MAX(0,95-'Your plan'!C7),('Your plan'!C9*12*(1+'Your plan'!C10/100)^MAX(0,'Your plan'!C7-'Your plan'!C6))*((1-(1+((1+'Your plan'!C12/100)/(1+'Your plan'!C10/100)-1))^-MAX(0,95-'Your plan'!C7))/((1+'Your plan'!C12/100)/(1+'Your plan'!C10/100)-1))*(1+((1+'Your plan'!C12/100)/(1+'Your plan'!C10/100)-1))))/('Your plan'!C9*12*(1+'Your plan'!C10/100)^MAX(0,'Your plan'!C7-'Your plan'!C6)))</f>
      </c>
      <c r="E19" s="1"/>
      <c r="F19" s="20" t="s">
        <v>47</v>
      </c>
      <c r="G19" s="1"/>
      <c r="H19" s="1"/>
    </row>
    <row r="20" spans="1:8" x14ac:dyDescent="0.25">
      <c r="A20" s="1"/>
      <c r="B20" s="25">
        <v>100</v>
      </c>
      <c r="C20" s="12">
        <f>IF(ABS(((1+'Your plan'!C12/100)/(1+'Your plan'!C10/100)-1))&lt;0.000000001,('Your plan'!C9*12*(1+'Your plan'!C10/100)^MAX(0,'Your plan'!C7-'Your plan'!C6))*MAX(0,100-'Your plan'!C7),('Your plan'!C9*12*(1+'Your plan'!C10/100)^MAX(0,'Your plan'!C7-'Your plan'!C6))*((1-(1+((1+'Your plan'!C12/100)/(1+'Your plan'!C10/100)-1))^-MAX(0,100-'Your plan'!C7))/((1+'Your plan'!C12/100)/(1+'Your plan'!C10/100)-1))*(1+((1+'Your plan'!C12/100)/(1+'Your plan'!C10/100)-1)))</f>
      </c>
      <c r="D20" s="19">
        <f>IF(('Your plan'!C9*12*(1+'Your plan'!C10/100)^MAX(0,'Your plan'!C7-'Your plan'!C6))=0,0,(IF(ABS(((1+'Your plan'!C12/100)/(1+'Your plan'!C10/100)-1))&lt;0.000000001,('Your plan'!C9*12*(1+'Your plan'!C10/100)^MAX(0,'Your plan'!C7-'Your plan'!C6))*MAX(0,100-'Your plan'!C7),('Your plan'!C9*12*(1+'Your plan'!C10/100)^MAX(0,'Your plan'!C7-'Your plan'!C6))*((1-(1+((1+'Your plan'!C12/100)/(1+'Your plan'!C10/100)-1))^-MAX(0,100-'Your plan'!C7))/((1+'Your plan'!C12/100)/(1+'Your plan'!C10/100)-1))*(1+((1+'Your plan'!C12/100)/(1+'Your plan'!C10/100)-1))))/('Your plan'!C9*12*(1+'Your plan'!C10/100)^MAX(0,'Your plan'!C7-'Your plan'!C6)))</f>
      </c>
      <c r="E20" s="1"/>
      <c r="F20" s="20" t="s">
        <v>50</v>
      </c>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spans="1:8" x14ac:dyDescent="0.25">
      <c r="A26" s="1"/>
      <c r="B26" s="1"/>
      <c r="C26" s="1"/>
      <c r="D26" s="1"/>
      <c r="E26" s="1"/>
      <c r="F26" s="1"/>
      <c r="G26" s="1"/>
      <c r="H26" s="1"/>
    </row>
  </sheetData>
  <mergeCells count="2">
    <mergeCell ref="B12:F12"/>
    <mergeCell ref="B14:F14"/>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A4F0F"/>
  </sheetPr>
  <dimension ref="A1:H82"/>
  <sheetViews>
    <sheetView workbookViewId="0" showGridLines="0">
      <pane ySplit="6" topLeftCell="A7" activePane="bottomLeft" state="frozen"/>
      <selection pane="bottomLeft"/>
    </sheetView>
  </sheetViews>
  <sheetFormatPr defaultRowHeight="15" outlineLevelRow="0" outlineLevelCol="0" x14ac:dyDescent="55"/>
  <cols>
    <col min="1" max="1" width="3" customWidth="1"/>
    <col min="2" max="2" width="8" customWidth="1"/>
    <col min="3" max="3" width="12" customWidth="1"/>
    <col min="4" max="6" width="16" customWidth="1"/>
    <col min="7" max="8" width="20" customWidth="1"/>
    <col min="9" max="9" width="3" customWidth="1"/>
  </cols>
  <sheetData>
    <row r="1" spans="1:8" x14ac:dyDescent="0.25">
      <c r="A1" s="1"/>
      <c r="B1" s="1"/>
      <c r="C1" s="1"/>
      <c r="D1" s="1"/>
      <c r="E1" s="1"/>
      <c r="F1" s="1"/>
      <c r="G1" s="1"/>
      <c r="H1" s="1"/>
    </row>
    <row r="2" ht="26" customHeight="1" spans="1:8" x14ac:dyDescent="0.25">
      <c r="A2" s="1"/>
      <c r="B2" s="2" t="s">
        <v>51</v>
      </c>
      <c r="C2" s="1"/>
      <c r="D2" s="1"/>
      <c r="E2" s="1"/>
      <c r="F2" s="1"/>
      <c r="G2" s="1"/>
      <c r="H2" s="1"/>
    </row>
    <row r="3" ht="15" customHeight="1" spans="1:8" x14ac:dyDescent="0.25">
      <c r="A3" s="1"/>
      <c r="B3" s="3" t="s">
        <v>52</v>
      </c>
      <c r="C3" s="1"/>
      <c r="D3" s="1"/>
      <c r="E3" s="1"/>
      <c r="F3" s="1"/>
      <c r="G3" s="1"/>
      <c r="H3" s="1"/>
    </row>
    <row r="4" ht="34" customHeight="1" spans="1:8" x14ac:dyDescent="0.25">
      <c r="A4" s="1"/>
      <c r="B4" s="16" t="s">
        <v>53</v>
      </c>
      <c r="C4" s="16"/>
      <c r="D4" s="16"/>
      <c r="E4" s="16"/>
      <c r="F4" s="16"/>
      <c r="G4" s="16"/>
      <c r="H4" s="16"/>
    </row>
    <row r="5" spans="1:8" x14ac:dyDescent="0.25">
      <c r="A5" s="1"/>
      <c r="B5" s="1"/>
      <c r="C5" s="1"/>
      <c r="D5" s="1"/>
      <c r="E5" s="1"/>
      <c r="F5" s="1"/>
      <c r="G5" s="1"/>
      <c r="H5" s="1"/>
    </row>
    <row r="6" ht="30" customHeight="1" spans="1:8" x14ac:dyDescent="0.25">
      <c r="A6" s="1"/>
      <c r="B6" s="17" t="s">
        <v>54</v>
      </c>
      <c r="C6" s="17" t="s">
        <v>55</v>
      </c>
      <c r="D6" s="17" t="s">
        <v>56</v>
      </c>
      <c r="E6" s="17" t="s">
        <v>57</v>
      </c>
      <c r="F6" s="17" t="s">
        <v>58</v>
      </c>
      <c r="G6" s="17" t="s">
        <v>59</v>
      </c>
      <c r="H6" s="17" t="s">
        <v>60</v>
      </c>
    </row>
    <row r="7" spans="1:8" x14ac:dyDescent="0.25">
      <c r="A7" s="1"/>
      <c r="B7" s="26">
        <f>IF('Your plan'!C6+0&gt;'Your plan'!C8,"",'Your plan'!C6+0)</f>
      </c>
      <c r="C7" s="27">
        <f>IF('Your plan'!C6+0&gt;'Your plan'!C8,"",IF('Your plan'!C6+0&lt;'Your plan'!C7,"Working","Retired"))</f>
      </c>
      <c r="D7" s="12">
        <f>IF('Your plan'!C6+0&gt;'Your plan'!C8,"",IF('Your plan'!C6+0&lt;'Your plan'!C7,'Your plan'!C14*12,0))</f>
      </c>
      <c r="E7" s="12">
        <f>IF('Your plan'!C6+0&gt;'Your plan'!C8,"",IF('Your plan'!C6+0&lt;'Your plan'!C7,('Your plan'!C13)*((1+((1+'Your plan'!C11/100)^(1/12)-1))^12-1)+'Your plan'!C14*(((1+((1+'Your plan'!C11/100)^(1/12)-1))^12-1)/((1+'Your plan'!C11/100)^(1/12)-1))*(1+((1+'Your plan'!C11/100)^(1/12)-1))-'Your plan'!C14*12,MAX(0,('Your plan'!C13)-'Your plan'!C9*12*(1+'Your plan'!C10/100)^('Your plan'!C6+0-'Your plan'!C6))*'Your plan'!C12/100))</f>
      </c>
      <c r="F7" s="12">
        <f>IF('Your plan'!C6+0&gt;'Your plan'!C8,"",IF('Your plan'!C6+0&lt;'Your plan'!C7,0,'Your plan'!C9*12*(1+'Your plan'!C10/100)^('Your plan'!C6+0-'Your plan'!C6)))</f>
      </c>
      <c r="G7" s="22">
        <f>IF('Your plan'!C6+0&gt;'Your plan'!C8,"",IF('Your plan'!C6+0&lt;'Your plan'!C7,('Your plan'!C13)+D7+E7,MAX(0,('Your plan'!C13)-'Your plan'!C9*12*(1+'Your plan'!C10/100)^('Your plan'!C6+0-'Your plan'!C6))*(1+'Your plan'!C12/100)))</f>
      </c>
      <c r="H7" s="12">
        <f>IF('Your plan'!C6+0&gt;'Your plan'!C8,"",IF('Your plan'!C6+0&lt;'Your plan'!C7,0,IF('Your plan'!C6+0='Your plan'!C7,MAX(0,'Your plan'!C22-'Your plan'!C9*12*(1+'Your plan'!C10/100)^('Your plan'!C6+0-'Your plan'!C6))*(1+'Your plan'!C12/100),MAX(0,(0)-'Your plan'!C9*12*(1+'Your plan'!C10/100)^('Your plan'!C6+0-'Your plan'!C6))*(1+'Your plan'!C12/100))))</f>
      </c>
    </row>
    <row r="8" spans="1:8" x14ac:dyDescent="0.25">
      <c r="A8" s="1"/>
      <c r="B8" s="26">
        <f>IF('Your plan'!C6+1&gt;'Your plan'!C8,"",'Your plan'!C6+1)</f>
      </c>
      <c r="C8" s="27">
        <f>IF('Your plan'!C6+1&gt;'Your plan'!C8,"",IF('Your plan'!C6+1&lt;'Your plan'!C7,"Working","Retired"))</f>
      </c>
      <c r="D8" s="12">
        <f>IF('Your plan'!C6+1&gt;'Your plan'!C8,"",IF('Your plan'!C6+1&lt;'Your plan'!C7,'Your plan'!C14*12,0))</f>
      </c>
      <c r="E8" s="12">
        <f>IF('Your plan'!C6+1&gt;'Your plan'!C8,"",IF('Your plan'!C6+1&lt;'Your plan'!C7,(N(G7))*((1+((1+'Your plan'!C11/100)^(1/12)-1))^12-1)+'Your plan'!C14*(((1+((1+'Your plan'!C11/100)^(1/12)-1))^12-1)/((1+'Your plan'!C11/100)^(1/12)-1))*(1+((1+'Your plan'!C11/100)^(1/12)-1))-'Your plan'!C14*12,MAX(0,(N(G7))-'Your plan'!C9*12*(1+'Your plan'!C10/100)^('Your plan'!C6+1-'Your plan'!C6))*'Your plan'!C12/100))</f>
      </c>
      <c r="F8" s="12">
        <f>IF('Your plan'!C6+1&gt;'Your plan'!C8,"",IF('Your plan'!C6+1&lt;'Your plan'!C7,0,'Your plan'!C9*12*(1+'Your plan'!C10/100)^('Your plan'!C6+1-'Your plan'!C6)))</f>
      </c>
      <c r="G8" s="22">
        <f>IF('Your plan'!C6+1&gt;'Your plan'!C8,"",IF('Your plan'!C6+1&lt;'Your plan'!C7,(N(G7))+D8+E8,MAX(0,(N(G7))-'Your plan'!C9*12*(1+'Your plan'!C10/100)^('Your plan'!C6+1-'Your plan'!C6))*(1+'Your plan'!C12/100)))</f>
      </c>
      <c r="H8" s="12">
        <f>IF('Your plan'!C6+1&gt;'Your plan'!C8,"",IF('Your plan'!C6+1&lt;'Your plan'!C7,0,IF('Your plan'!C6+1='Your plan'!C7,MAX(0,'Your plan'!C22-'Your plan'!C9*12*(1+'Your plan'!C10/100)^('Your plan'!C6+1-'Your plan'!C6))*(1+'Your plan'!C12/100),MAX(0,(N(H7))-'Your plan'!C9*12*(1+'Your plan'!C10/100)^('Your plan'!C6+1-'Your plan'!C6))*(1+'Your plan'!C12/100))))</f>
      </c>
    </row>
    <row r="9" spans="1:8" x14ac:dyDescent="0.25">
      <c r="A9" s="1"/>
      <c r="B9" s="26">
        <f>IF('Your plan'!C6+2&gt;'Your plan'!C8,"",'Your plan'!C6+2)</f>
      </c>
      <c r="C9" s="27">
        <f>IF('Your plan'!C6+2&gt;'Your plan'!C8,"",IF('Your plan'!C6+2&lt;'Your plan'!C7,"Working","Retired"))</f>
      </c>
      <c r="D9" s="12">
        <f>IF('Your plan'!C6+2&gt;'Your plan'!C8,"",IF('Your plan'!C6+2&lt;'Your plan'!C7,'Your plan'!C14*12,0))</f>
      </c>
      <c r="E9" s="12">
        <f>IF('Your plan'!C6+2&gt;'Your plan'!C8,"",IF('Your plan'!C6+2&lt;'Your plan'!C7,(N(G8))*((1+((1+'Your plan'!C11/100)^(1/12)-1))^12-1)+'Your plan'!C14*(((1+((1+'Your plan'!C11/100)^(1/12)-1))^12-1)/((1+'Your plan'!C11/100)^(1/12)-1))*(1+((1+'Your plan'!C11/100)^(1/12)-1))-'Your plan'!C14*12,MAX(0,(N(G8))-'Your plan'!C9*12*(1+'Your plan'!C10/100)^('Your plan'!C6+2-'Your plan'!C6))*'Your plan'!C12/100))</f>
      </c>
      <c r="F9" s="12">
        <f>IF('Your plan'!C6+2&gt;'Your plan'!C8,"",IF('Your plan'!C6+2&lt;'Your plan'!C7,0,'Your plan'!C9*12*(1+'Your plan'!C10/100)^('Your plan'!C6+2-'Your plan'!C6)))</f>
      </c>
      <c r="G9" s="22">
        <f>IF('Your plan'!C6+2&gt;'Your plan'!C8,"",IF('Your plan'!C6+2&lt;'Your plan'!C7,(N(G8))+D9+E9,MAX(0,(N(G8))-'Your plan'!C9*12*(1+'Your plan'!C10/100)^('Your plan'!C6+2-'Your plan'!C6))*(1+'Your plan'!C12/100)))</f>
      </c>
      <c r="H9" s="12">
        <f>IF('Your plan'!C6+2&gt;'Your plan'!C8,"",IF('Your plan'!C6+2&lt;'Your plan'!C7,0,IF('Your plan'!C6+2='Your plan'!C7,MAX(0,'Your plan'!C22-'Your plan'!C9*12*(1+'Your plan'!C10/100)^('Your plan'!C6+2-'Your plan'!C6))*(1+'Your plan'!C12/100),MAX(0,(N(H8))-'Your plan'!C9*12*(1+'Your plan'!C10/100)^('Your plan'!C6+2-'Your plan'!C6))*(1+'Your plan'!C12/100))))</f>
      </c>
    </row>
    <row r="10" spans="1:8" x14ac:dyDescent="0.25">
      <c r="A10" s="1"/>
      <c r="B10" s="26">
        <f>IF('Your plan'!C6+3&gt;'Your plan'!C8,"",'Your plan'!C6+3)</f>
      </c>
      <c r="C10" s="27">
        <f>IF('Your plan'!C6+3&gt;'Your plan'!C8,"",IF('Your plan'!C6+3&lt;'Your plan'!C7,"Working","Retired"))</f>
      </c>
      <c r="D10" s="12">
        <f>IF('Your plan'!C6+3&gt;'Your plan'!C8,"",IF('Your plan'!C6+3&lt;'Your plan'!C7,'Your plan'!C14*12,0))</f>
      </c>
      <c r="E10" s="12">
        <f>IF('Your plan'!C6+3&gt;'Your plan'!C8,"",IF('Your plan'!C6+3&lt;'Your plan'!C7,(N(G9))*((1+((1+'Your plan'!C11/100)^(1/12)-1))^12-1)+'Your plan'!C14*(((1+((1+'Your plan'!C11/100)^(1/12)-1))^12-1)/((1+'Your plan'!C11/100)^(1/12)-1))*(1+((1+'Your plan'!C11/100)^(1/12)-1))-'Your plan'!C14*12,MAX(0,(N(G9))-'Your plan'!C9*12*(1+'Your plan'!C10/100)^('Your plan'!C6+3-'Your plan'!C6))*'Your plan'!C12/100))</f>
      </c>
      <c r="F10" s="12">
        <f>IF('Your plan'!C6+3&gt;'Your plan'!C8,"",IF('Your plan'!C6+3&lt;'Your plan'!C7,0,'Your plan'!C9*12*(1+'Your plan'!C10/100)^('Your plan'!C6+3-'Your plan'!C6)))</f>
      </c>
      <c r="G10" s="22">
        <f>IF('Your plan'!C6+3&gt;'Your plan'!C8,"",IF('Your plan'!C6+3&lt;'Your plan'!C7,(N(G9))+D10+E10,MAX(0,(N(G9))-'Your plan'!C9*12*(1+'Your plan'!C10/100)^('Your plan'!C6+3-'Your plan'!C6))*(1+'Your plan'!C12/100)))</f>
      </c>
      <c r="H10" s="12">
        <f>IF('Your plan'!C6+3&gt;'Your plan'!C8,"",IF('Your plan'!C6+3&lt;'Your plan'!C7,0,IF('Your plan'!C6+3='Your plan'!C7,MAX(0,'Your plan'!C22-'Your plan'!C9*12*(1+'Your plan'!C10/100)^('Your plan'!C6+3-'Your plan'!C6))*(1+'Your plan'!C12/100),MAX(0,(N(H9))-'Your plan'!C9*12*(1+'Your plan'!C10/100)^('Your plan'!C6+3-'Your plan'!C6))*(1+'Your plan'!C12/100))))</f>
      </c>
    </row>
    <row r="11" spans="1:8" x14ac:dyDescent="0.25">
      <c r="A11" s="1"/>
      <c r="B11" s="26">
        <f>IF('Your plan'!C6+4&gt;'Your plan'!C8,"",'Your plan'!C6+4)</f>
      </c>
      <c r="C11" s="27">
        <f>IF('Your plan'!C6+4&gt;'Your plan'!C8,"",IF('Your plan'!C6+4&lt;'Your plan'!C7,"Working","Retired"))</f>
      </c>
      <c r="D11" s="12">
        <f>IF('Your plan'!C6+4&gt;'Your plan'!C8,"",IF('Your plan'!C6+4&lt;'Your plan'!C7,'Your plan'!C14*12,0))</f>
      </c>
      <c r="E11" s="12">
        <f>IF('Your plan'!C6+4&gt;'Your plan'!C8,"",IF('Your plan'!C6+4&lt;'Your plan'!C7,(N(G10))*((1+((1+'Your plan'!C11/100)^(1/12)-1))^12-1)+'Your plan'!C14*(((1+((1+'Your plan'!C11/100)^(1/12)-1))^12-1)/((1+'Your plan'!C11/100)^(1/12)-1))*(1+((1+'Your plan'!C11/100)^(1/12)-1))-'Your plan'!C14*12,MAX(0,(N(G10))-'Your plan'!C9*12*(1+'Your plan'!C10/100)^('Your plan'!C6+4-'Your plan'!C6))*'Your plan'!C12/100))</f>
      </c>
      <c r="F11" s="12">
        <f>IF('Your plan'!C6+4&gt;'Your plan'!C8,"",IF('Your plan'!C6+4&lt;'Your plan'!C7,0,'Your plan'!C9*12*(1+'Your plan'!C10/100)^('Your plan'!C6+4-'Your plan'!C6)))</f>
      </c>
      <c r="G11" s="22">
        <f>IF('Your plan'!C6+4&gt;'Your plan'!C8,"",IF('Your plan'!C6+4&lt;'Your plan'!C7,(N(G10))+D11+E11,MAX(0,(N(G10))-'Your plan'!C9*12*(1+'Your plan'!C10/100)^('Your plan'!C6+4-'Your plan'!C6))*(1+'Your plan'!C12/100)))</f>
      </c>
      <c r="H11" s="12">
        <f>IF('Your plan'!C6+4&gt;'Your plan'!C8,"",IF('Your plan'!C6+4&lt;'Your plan'!C7,0,IF('Your plan'!C6+4='Your plan'!C7,MAX(0,'Your plan'!C22-'Your plan'!C9*12*(1+'Your plan'!C10/100)^('Your plan'!C6+4-'Your plan'!C6))*(1+'Your plan'!C12/100),MAX(0,(N(H10))-'Your plan'!C9*12*(1+'Your plan'!C10/100)^('Your plan'!C6+4-'Your plan'!C6))*(1+'Your plan'!C12/100))))</f>
      </c>
    </row>
    <row r="12" spans="1:8" x14ac:dyDescent="0.25">
      <c r="A12" s="1"/>
      <c r="B12" s="26">
        <f>IF('Your plan'!C6+5&gt;'Your plan'!C8,"",'Your plan'!C6+5)</f>
      </c>
      <c r="C12" s="27">
        <f>IF('Your plan'!C6+5&gt;'Your plan'!C8,"",IF('Your plan'!C6+5&lt;'Your plan'!C7,"Working","Retired"))</f>
      </c>
      <c r="D12" s="12">
        <f>IF('Your plan'!C6+5&gt;'Your plan'!C8,"",IF('Your plan'!C6+5&lt;'Your plan'!C7,'Your plan'!C14*12,0))</f>
      </c>
      <c r="E12" s="12">
        <f>IF('Your plan'!C6+5&gt;'Your plan'!C8,"",IF('Your plan'!C6+5&lt;'Your plan'!C7,(N(G11))*((1+((1+'Your plan'!C11/100)^(1/12)-1))^12-1)+'Your plan'!C14*(((1+((1+'Your plan'!C11/100)^(1/12)-1))^12-1)/((1+'Your plan'!C11/100)^(1/12)-1))*(1+((1+'Your plan'!C11/100)^(1/12)-1))-'Your plan'!C14*12,MAX(0,(N(G11))-'Your plan'!C9*12*(1+'Your plan'!C10/100)^('Your plan'!C6+5-'Your plan'!C6))*'Your plan'!C12/100))</f>
      </c>
      <c r="F12" s="12">
        <f>IF('Your plan'!C6+5&gt;'Your plan'!C8,"",IF('Your plan'!C6+5&lt;'Your plan'!C7,0,'Your plan'!C9*12*(1+'Your plan'!C10/100)^('Your plan'!C6+5-'Your plan'!C6)))</f>
      </c>
      <c r="G12" s="22">
        <f>IF('Your plan'!C6+5&gt;'Your plan'!C8,"",IF('Your plan'!C6+5&lt;'Your plan'!C7,(N(G11))+D12+E12,MAX(0,(N(G11))-'Your plan'!C9*12*(1+'Your plan'!C10/100)^('Your plan'!C6+5-'Your plan'!C6))*(1+'Your plan'!C12/100)))</f>
      </c>
      <c r="H12" s="12">
        <f>IF('Your plan'!C6+5&gt;'Your plan'!C8,"",IF('Your plan'!C6+5&lt;'Your plan'!C7,0,IF('Your plan'!C6+5='Your plan'!C7,MAX(0,'Your plan'!C22-'Your plan'!C9*12*(1+'Your plan'!C10/100)^('Your plan'!C6+5-'Your plan'!C6))*(1+'Your plan'!C12/100),MAX(0,(N(H11))-'Your plan'!C9*12*(1+'Your plan'!C10/100)^('Your plan'!C6+5-'Your plan'!C6))*(1+'Your plan'!C12/100))))</f>
      </c>
    </row>
    <row r="13" spans="1:8" x14ac:dyDescent="0.25">
      <c r="A13" s="1"/>
      <c r="B13" s="26">
        <f>IF('Your plan'!C6+6&gt;'Your plan'!C8,"",'Your plan'!C6+6)</f>
      </c>
      <c r="C13" s="27">
        <f>IF('Your plan'!C6+6&gt;'Your plan'!C8,"",IF('Your plan'!C6+6&lt;'Your plan'!C7,"Working","Retired"))</f>
      </c>
      <c r="D13" s="12">
        <f>IF('Your plan'!C6+6&gt;'Your plan'!C8,"",IF('Your plan'!C6+6&lt;'Your plan'!C7,'Your plan'!C14*12,0))</f>
      </c>
      <c r="E13" s="12">
        <f>IF('Your plan'!C6+6&gt;'Your plan'!C8,"",IF('Your plan'!C6+6&lt;'Your plan'!C7,(N(G12))*((1+((1+'Your plan'!C11/100)^(1/12)-1))^12-1)+'Your plan'!C14*(((1+((1+'Your plan'!C11/100)^(1/12)-1))^12-1)/((1+'Your plan'!C11/100)^(1/12)-1))*(1+((1+'Your plan'!C11/100)^(1/12)-1))-'Your plan'!C14*12,MAX(0,(N(G12))-'Your plan'!C9*12*(1+'Your plan'!C10/100)^('Your plan'!C6+6-'Your plan'!C6))*'Your plan'!C12/100))</f>
      </c>
      <c r="F13" s="12">
        <f>IF('Your plan'!C6+6&gt;'Your plan'!C8,"",IF('Your plan'!C6+6&lt;'Your plan'!C7,0,'Your plan'!C9*12*(1+'Your plan'!C10/100)^('Your plan'!C6+6-'Your plan'!C6)))</f>
      </c>
      <c r="G13" s="22">
        <f>IF('Your plan'!C6+6&gt;'Your plan'!C8,"",IF('Your plan'!C6+6&lt;'Your plan'!C7,(N(G12))+D13+E13,MAX(0,(N(G12))-'Your plan'!C9*12*(1+'Your plan'!C10/100)^('Your plan'!C6+6-'Your plan'!C6))*(1+'Your plan'!C12/100)))</f>
      </c>
      <c r="H13" s="12">
        <f>IF('Your plan'!C6+6&gt;'Your plan'!C8,"",IF('Your plan'!C6+6&lt;'Your plan'!C7,0,IF('Your plan'!C6+6='Your plan'!C7,MAX(0,'Your plan'!C22-'Your plan'!C9*12*(1+'Your plan'!C10/100)^('Your plan'!C6+6-'Your plan'!C6))*(1+'Your plan'!C12/100),MAX(0,(N(H12))-'Your plan'!C9*12*(1+'Your plan'!C10/100)^('Your plan'!C6+6-'Your plan'!C6))*(1+'Your plan'!C12/100))))</f>
      </c>
    </row>
    <row r="14" spans="1:8" x14ac:dyDescent="0.25">
      <c r="A14" s="1"/>
      <c r="B14" s="26">
        <f>IF('Your plan'!C6+7&gt;'Your plan'!C8,"",'Your plan'!C6+7)</f>
      </c>
      <c r="C14" s="27">
        <f>IF('Your plan'!C6+7&gt;'Your plan'!C8,"",IF('Your plan'!C6+7&lt;'Your plan'!C7,"Working","Retired"))</f>
      </c>
      <c r="D14" s="12">
        <f>IF('Your plan'!C6+7&gt;'Your plan'!C8,"",IF('Your plan'!C6+7&lt;'Your plan'!C7,'Your plan'!C14*12,0))</f>
      </c>
      <c r="E14" s="12">
        <f>IF('Your plan'!C6+7&gt;'Your plan'!C8,"",IF('Your plan'!C6+7&lt;'Your plan'!C7,(N(G13))*((1+((1+'Your plan'!C11/100)^(1/12)-1))^12-1)+'Your plan'!C14*(((1+((1+'Your plan'!C11/100)^(1/12)-1))^12-1)/((1+'Your plan'!C11/100)^(1/12)-1))*(1+((1+'Your plan'!C11/100)^(1/12)-1))-'Your plan'!C14*12,MAX(0,(N(G13))-'Your plan'!C9*12*(1+'Your plan'!C10/100)^('Your plan'!C6+7-'Your plan'!C6))*'Your plan'!C12/100))</f>
      </c>
      <c r="F14" s="12">
        <f>IF('Your plan'!C6+7&gt;'Your plan'!C8,"",IF('Your plan'!C6+7&lt;'Your plan'!C7,0,'Your plan'!C9*12*(1+'Your plan'!C10/100)^('Your plan'!C6+7-'Your plan'!C6)))</f>
      </c>
      <c r="G14" s="22">
        <f>IF('Your plan'!C6+7&gt;'Your plan'!C8,"",IF('Your plan'!C6+7&lt;'Your plan'!C7,(N(G13))+D14+E14,MAX(0,(N(G13))-'Your plan'!C9*12*(1+'Your plan'!C10/100)^('Your plan'!C6+7-'Your plan'!C6))*(1+'Your plan'!C12/100)))</f>
      </c>
      <c r="H14" s="12">
        <f>IF('Your plan'!C6+7&gt;'Your plan'!C8,"",IF('Your plan'!C6+7&lt;'Your plan'!C7,0,IF('Your plan'!C6+7='Your plan'!C7,MAX(0,'Your plan'!C22-'Your plan'!C9*12*(1+'Your plan'!C10/100)^('Your plan'!C6+7-'Your plan'!C6))*(1+'Your plan'!C12/100),MAX(0,(N(H13))-'Your plan'!C9*12*(1+'Your plan'!C10/100)^('Your plan'!C6+7-'Your plan'!C6))*(1+'Your plan'!C12/100))))</f>
      </c>
    </row>
    <row r="15" spans="1:8" x14ac:dyDescent="0.25">
      <c r="A15" s="1"/>
      <c r="B15" s="26">
        <f>IF('Your plan'!C6+8&gt;'Your plan'!C8,"",'Your plan'!C6+8)</f>
      </c>
      <c r="C15" s="27">
        <f>IF('Your plan'!C6+8&gt;'Your plan'!C8,"",IF('Your plan'!C6+8&lt;'Your plan'!C7,"Working","Retired"))</f>
      </c>
      <c r="D15" s="12">
        <f>IF('Your plan'!C6+8&gt;'Your plan'!C8,"",IF('Your plan'!C6+8&lt;'Your plan'!C7,'Your plan'!C14*12,0))</f>
      </c>
      <c r="E15" s="12">
        <f>IF('Your plan'!C6+8&gt;'Your plan'!C8,"",IF('Your plan'!C6+8&lt;'Your plan'!C7,(N(G14))*((1+((1+'Your plan'!C11/100)^(1/12)-1))^12-1)+'Your plan'!C14*(((1+((1+'Your plan'!C11/100)^(1/12)-1))^12-1)/((1+'Your plan'!C11/100)^(1/12)-1))*(1+((1+'Your plan'!C11/100)^(1/12)-1))-'Your plan'!C14*12,MAX(0,(N(G14))-'Your plan'!C9*12*(1+'Your plan'!C10/100)^('Your plan'!C6+8-'Your plan'!C6))*'Your plan'!C12/100))</f>
      </c>
      <c r="F15" s="12">
        <f>IF('Your plan'!C6+8&gt;'Your plan'!C8,"",IF('Your plan'!C6+8&lt;'Your plan'!C7,0,'Your plan'!C9*12*(1+'Your plan'!C10/100)^('Your plan'!C6+8-'Your plan'!C6)))</f>
      </c>
      <c r="G15" s="22">
        <f>IF('Your plan'!C6+8&gt;'Your plan'!C8,"",IF('Your plan'!C6+8&lt;'Your plan'!C7,(N(G14))+D15+E15,MAX(0,(N(G14))-'Your plan'!C9*12*(1+'Your plan'!C10/100)^('Your plan'!C6+8-'Your plan'!C6))*(1+'Your plan'!C12/100)))</f>
      </c>
      <c r="H15" s="12">
        <f>IF('Your plan'!C6+8&gt;'Your plan'!C8,"",IF('Your plan'!C6+8&lt;'Your plan'!C7,0,IF('Your plan'!C6+8='Your plan'!C7,MAX(0,'Your plan'!C22-'Your plan'!C9*12*(1+'Your plan'!C10/100)^('Your plan'!C6+8-'Your plan'!C6))*(1+'Your plan'!C12/100),MAX(0,(N(H14))-'Your plan'!C9*12*(1+'Your plan'!C10/100)^('Your plan'!C6+8-'Your plan'!C6))*(1+'Your plan'!C12/100))))</f>
      </c>
    </row>
    <row r="16" spans="1:8" x14ac:dyDescent="0.25">
      <c r="A16" s="1"/>
      <c r="B16" s="26">
        <f>IF('Your plan'!C6+9&gt;'Your plan'!C8,"",'Your plan'!C6+9)</f>
      </c>
      <c r="C16" s="27">
        <f>IF('Your plan'!C6+9&gt;'Your plan'!C8,"",IF('Your plan'!C6+9&lt;'Your plan'!C7,"Working","Retired"))</f>
      </c>
      <c r="D16" s="12">
        <f>IF('Your plan'!C6+9&gt;'Your plan'!C8,"",IF('Your plan'!C6+9&lt;'Your plan'!C7,'Your plan'!C14*12,0))</f>
      </c>
      <c r="E16" s="12">
        <f>IF('Your plan'!C6+9&gt;'Your plan'!C8,"",IF('Your plan'!C6+9&lt;'Your plan'!C7,(N(G15))*((1+((1+'Your plan'!C11/100)^(1/12)-1))^12-1)+'Your plan'!C14*(((1+((1+'Your plan'!C11/100)^(1/12)-1))^12-1)/((1+'Your plan'!C11/100)^(1/12)-1))*(1+((1+'Your plan'!C11/100)^(1/12)-1))-'Your plan'!C14*12,MAX(0,(N(G15))-'Your plan'!C9*12*(1+'Your plan'!C10/100)^('Your plan'!C6+9-'Your plan'!C6))*'Your plan'!C12/100))</f>
      </c>
      <c r="F16" s="12">
        <f>IF('Your plan'!C6+9&gt;'Your plan'!C8,"",IF('Your plan'!C6+9&lt;'Your plan'!C7,0,'Your plan'!C9*12*(1+'Your plan'!C10/100)^('Your plan'!C6+9-'Your plan'!C6)))</f>
      </c>
      <c r="G16" s="22">
        <f>IF('Your plan'!C6+9&gt;'Your plan'!C8,"",IF('Your plan'!C6+9&lt;'Your plan'!C7,(N(G15))+D16+E16,MAX(0,(N(G15))-'Your plan'!C9*12*(1+'Your plan'!C10/100)^('Your plan'!C6+9-'Your plan'!C6))*(1+'Your plan'!C12/100)))</f>
      </c>
      <c r="H16" s="12">
        <f>IF('Your plan'!C6+9&gt;'Your plan'!C8,"",IF('Your plan'!C6+9&lt;'Your plan'!C7,0,IF('Your plan'!C6+9='Your plan'!C7,MAX(0,'Your plan'!C22-'Your plan'!C9*12*(1+'Your plan'!C10/100)^('Your plan'!C6+9-'Your plan'!C6))*(1+'Your plan'!C12/100),MAX(0,(N(H15))-'Your plan'!C9*12*(1+'Your plan'!C10/100)^('Your plan'!C6+9-'Your plan'!C6))*(1+'Your plan'!C12/100))))</f>
      </c>
    </row>
    <row r="17" spans="1:8" x14ac:dyDescent="0.25">
      <c r="A17" s="1"/>
      <c r="B17" s="26">
        <f>IF('Your plan'!C6+10&gt;'Your plan'!C8,"",'Your plan'!C6+10)</f>
      </c>
      <c r="C17" s="27">
        <f>IF('Your plan'!C6+10&gt;'Your plan'!C8,"",IF('Your plan'!C6+10&lt;'Your plan'!C7,"Working","Retired"))</f>
      </c>
      <c r="D17" s="12">
        <f>IF('Your plan'!C6+10&gt;'Your plan'!C8,"",IF('Your plan'!C6+10&lt;'Your plan'!C7,'Your plan'!C14*12,0))</f>
      </c>
      <c r="E17" s="12">
        <f>IF('Your plan'!C6+10&gt;'Your plan'!C8,"",IF('Your plan'!C6+10&lt;'Your plan'!C7,(N(G16))*((1+((1+'Your plan'!C11/100)^(1/12)-1))^12-1)+'Your plan'!C14*(((1+((1+'Your plan'!C11/100)^(1/12)-1))^12-1)/((1+'Your plan'!C11/100)^(1/12)-1))*(1+((1+'Your plan'!C11/100)^(1/12)-1))-'Your plan'!C14*12,MAX(0,(N(G16))-'Your plan'!C9*12*(1+'Your plan'!C10/100)^('Your plan'!C6+10-'Your plan'!C6))*'Your plan'!C12/100))</f>
      </c>
      <c r="F17" s="12">
        <f>IF('Your plan'!C6+10&gt;'Your plan'!C8,"",IF('Your plan'!C6+10&lt;'Your plan'!C7,0,'Your plan'!C9*12*(1+'Your plan'!C10/100)^('Your plan'!C6+10-'Your plan'!C6)))</f>
      </c>
      <c r="G17" s="22">
        <f>IF('Your plan'!C6+10&gt;'Your plan'!C8,"",IF('Your plan'!C6+10&lt;'Your plan'!C7,(N(G16))+D17+E17,MAX(0,(N(G16))-'Your plan'!C9*12*(1+'Your plan'!C10/100)^('Your plan'!C6+10-'Your plan'!C6))*(1+'Your plan'!C12/100)))</f>
      </c>
      <c r="H17" s="12">
        <f>IF('Your plan'!C6+10&gt;'Your plan'!C8,"",IF('Your plan'!C6+10&lt;'Your plan'!C7,0,IF('Your plan'!C6+10='Your plan'!C7,MAX(0,'Your plan'!C22-'Your plan'!C9*12*(1+'Your plan'!C10/100)^('Your plan'!C6+10-'Your plan'!C6))*(1+'Your plan'!C12/100),MAX(0,(N(H16))-'Your plan'!C9*12*(1+'Your plan'!C10/100)^('Your plan'!C6+10-'Your plan'!C6))*(1+'Your plan'!C12/100))))</f>
      </c>
    </row>
    <row r="18" spans="1:8" x14ac:dyDescent="0.25">
      <c r="A18" s="1"/>
      <c r="B18" s="26">
        <f>IF('Your plan'!C6+11&gt;'Your plan'!C8,"",'Your plan'!C6+11)</f>
      </c>
      <c r="C18" s="27">
        <f>IF('Your plan'!C6+11&gt;'Your plan'!C8,"",IF('Your plan'!C6+11&lt;'Your plan'!C7,"Working","Retired"))</f>
      </c>
      <c r="D18" s="12">
        <f>IF('Your plan'!C6+11&gt;'Your plan'!C8,"",IF('Your plan'!C6+11&lt;'Your plan'!C7,'Your plan'!C14*12,0))</f>
      </c>
      <c r="E18" s="12">
        <f>IF('Your plan'!C6+11&gt;'Your plan'!C8,"",IF('Your plan'!C6+11&lt;'Your plan'!C7,(N(G17))*((1+((1+'Your plan'!C11/100)^(1/12)-1))^12-1)+'Your plan'!C14*(((1+((1+'Your plan'!C11/100)^(1/12)-1))^12-1)/((1+'Your plan'!C11/100)^(1/12)-1))*(1+((1+'Your plan'!C11/100)^(1/12)-1))-'Your plan'!C14*12,MAX(0,(N(G17))-'Your plan'!C9*12*(1+'Your plan'!C10/100)^('Your plan'!C6+11-'Your plan'!C6))*'Your plan'!C12/100))</f>
      </c>
      <c r="F18" s="12">
        <f>IF('Your plan'!C6+11&gt;'Your plan'!C8,"",IF('Your plan'!C6+11&lt;'Your plan'!C7,0,'Your plan'!C9*12*(1+'Your plan'!C10/100)^('Your plan'!C6+11-'Your plan'!C6)))</f>
      </c>
      <c r="G18" s="22">
        <f>IF('Your plan'!C6+11&gt;'Your plan'!C8,"",IF('Your plan'!C6+11&lt;'Your plan'!C7,(N(G17))+D18+E18,MAX(0,(N(G17))-'Your plan'!C9*12*(1+'Your plan'!C10/100)^('Your plan'!C6+11-'Your plan'!C6))*(1+'Your plan'!C12/100)))</f>
      </c>
      <c r="H18" s="12">
        <f>IF('Your plan'!C6+11&gt;'Your plan'!C8,"",IF('Your plan'!C6+11&lt;'Your plan'!C7,0,IF('Your plan'!C6+11='Your plan'!C7,MAX(0,'Your plan'!C22-'Your plan'!C9*12*(1+'Your plan'!C10/100)^('Your plan'!C6+11-'Your plan'!C6))*(1+'Your plan'!C12/100),MAX(0,(N(H17))-'Your plan'!C9*12*(1+'Your plan'!C10/100)^('Your plan'!C6+11-'Your plan'!C6))*(1+'Your plan'!C12/100))))</f>
      </c>
    </row>
    <row r="19" spans="1:8" x14ac:dyDescent="0.25">
      <c r="A19" s="1"/>
      <c r="B19" s="26">
        <f>IF('Your plan'!C6+12&gt;'Your plan'!C8,"",'Your plan'!C6+12)</f>
      </c>
      <c r="C19" s="27">
        <f>IF('Your plan'!C6+12&gt;'Your plan'!C8,"",IF('Your plan'!C6+12&lt;'Your plan'!C7,"Working","Retired"))</f>
      </c>
      <c r="D19" s="12">
        <f>IF('Your plan'!C6+12&gt;'Your plan'!C8,"",IF('Your plan'!C6+12&lt;'Your plan'!C7,'Your plan'!C14*12,0))</f>
      </c>
      <c r="E19" s="12">
        <f>IF('Your plan'!C6+12&gt;'Your plan'!C8,"",IF('Your plan'!C6+12&lt;'Your plan'!C7,(N(G18))*((1+((1+'Your plan'!C11/100)^(1/12)-1))^12-1)+'Your plan'!C14*(((1+((1+'Your plan'!C11/100)^(1/12)-1))^12-1)/((1+'Your plan'!C11/100)^(1/12)-1))*(1+((1+'Your plan'!C11/100)^(1/12)-1))-'Your plan'!C14*12,MAX(0,(N(G18))-'Your plan'!C9*12*(1+'Your plan'!C10/100)^('Your plan'!C6+12-'Your plan'!C6))*'Your plan'!C12/100))</f>
      </c>
      <c r="F19" s="12">
        <f>IF('Your plan'!C6+12&gt;'Your plan'!C8,"",IF('Your plan'!C6+12&lt;'Your plan'!C7,0,'Your plan'!C9*12*(1+'Your plan'!C10/100)^('Your plan'!C6+12-'Your plan'!C6)))</f>
      </c>
      <c r="G19" s="22">
        <f>IF('Your plan'!C6+12&gt;'Your plan'!C8,"",IF('Your plan'!C6+12&lt;'Your plan'!C7,(N(G18))+D19+E19,MAX(0,(N(G18))-'Your plan'!C9*12*(1+'Your plan'!C10/100)^('Your plan'!C6+12-'Your plan'!C6))*(1+'Your plan'!C12/100)))</f>
      </c>
      <c r="H19" s="12">
        <f>IF('Your plan'!C6+12&gt;'Your plan'!C8,"",IF('Your plan'!C6+12&lt;'Your plan'!C7,0,IF('Your plan'!C6+12='Your plan'!C7,MAX(0,'Your plan'!C22-'Your plan'!C9*12*(1+'Your plan'!C10/100)^('Your plan'!C6+12-'Your plan'!C6))*(1+'Your plan'!C12/100),MAX(0,(N(H18))-'Your plan'!C9*12*(1+'Your plan'!C10/100)^('Your plan'!C6+12-'Your plan'!C6))*(1+'Your plan'!C12/100))))</f>
      </c>
    </row>
    <row r="20" spans="1:8" x14ac:dyDescent="0.25">
      <c r="A20" s="1"/>
      <c r="B20" s="26">
        <f>IF('Your plan'!C6+13&gt;'Your plan'!C8,"",'Your plan'!C6+13)</f>
      </c>
      <c r="C20" s="27">
        <f>IF('Your plan'!C6+13&gt;'Your plan'!C8,"",IF('Your plan'!C6+13&lt;'Your plan'!C7,"Working","Retired"))</f>
      </c>
      <c r="D20" s="12">
        <f>IF('Your plan'!C6+13&gt;'Your plan'!C8,"",IF('Your plan'!C6+13&lt;'Your plan'!C7,'Your plan'!C14*12,0))</f>
      </c>
      <c r="E20" s="12">
        <f>IF('Your plan'!C6+13&gt;'Your plan'!C8,"",IF('Your plan'!C6+13&lt;'Your plan'!C7,(N(G19))*((1+((1+'Your plan'!C11/100)^(1/12)-1))^12-1)+'Your plan'!C14*(((1+((1+'Your plan'!C11/100)^(1/12)-1))^12-1)/((1+'Your plan'!C11/100)^(1/12)-1))*(1+((1+'Your plan'!C11/100)^(1/12)-1))-'Your plan'!C14*12,MAX(0,(N(G19))-'Your plan'!C9*12*(1+'Your plan'!C10/100)^('Your plan'!C6+13-'Your plan'!C6))*'Your plan'!C12/100))</f>
      </c>
      <c r="F20" s="12">
        <f>IF('Your plan'!C6+13&gt;'Your plan'!C8,"",IF('Your plan'!C6+13&lt;'Your plan'!C7,0,'Your plan'!C9*12*(1+'Your plan'!C10/100)^('Your plan'!C6+13-'Your plan'!C6)))</f>
      </c>
      <c r="G20" s="22">
        <f>IF('Your plan'!C6+13&gt;'Your plan'!C8,"",IF('Your plan'!C6+13&lt;'Your plan'!C7,(N(G19))+D20+E20,MAX(0,(N(G19))-'Your plan'!C9*12*(1+'Your plan'!C10/100)^('Your plan'!C6+13-'Your plan'!C6))*(1+'Your plan'!C12/100)))</f>
      </c>
      <c r="H20" s="12">
        <f>IF('Your plan'!C6+13&gt;'Your plan'!C8,"",IF('Your plan'!C6+13&lt;'Your plan'!C7,0,IF('Your plan'!C6+13='Your plan'!C7,MAX(0,'Your plan'!C22-'Your plan'!C9*12*(1+'Your plan'!C10/100)^('Your plan'!C6+13-'Your plan'!C6))*(1+'Your plan'!C12/100),MAX(0,(N(H19))-'Your plan'!C9*12*(1+'Your plan'!C10/100)^('Your plan'!C6+13-'Your plan'!C6))*(1+'Your plan'!C12/100))))</f>
      </c>
    </row>
    <row r="21" spans="1:8" x14ac:dyDescent="0.25">
      <c r="A21" s="1"/>
      <c r="B21" s="26">
        <f>IF('Your plan'!C6+14&gt;'Your plan'!C8,"",'Your plan'!C6+14)</f>
      </c>
      <c r="C21" s="27">
        <f>IF('Your plan'!C6+14&gt;'Your plan'!C8,"",IF('Your plan'!C6+14&lt;'Your plan'!C7,"Working","Retired"))</f>
      </c>
      <c r="D21" s="12">
        <f>IF('Your plan'!C6+14&gt;'Your plan'!C8,"",IF('Your plan'!C6+14&lt;'Your plan'!C7,'Your plan'!C14*12,0))</f>
      </c>
      <c r="E21" s="12">
        <f>IF('Your plan'!C6+14&gt;'Your plan'!C8,"",IF('Your plan'!C6+14&lt;'Your plan'!C7,(N(G20))*((1+((1+'Your plan'!C11/100)^(1/12)-1))^12-1)+'Your plan'!C14*(((1+((1+'Your plan'!C11/100)^(1/12)-1))^12-1)/((1+'Your plan'!C11/100)^(1/12)-1))*(1+((1+'Your plan'!C11/100)^(1/12)-1))-'Your plan'!C14*12,MAX(0,(N(G20))-'Your plan'!C9*12*(1+'Your plan'!C10/100)^('Your plan'!C6+14-'Your plan'!C6))*'Your plan'!C12/100))</f>
      </c>
      <c r="F21" s="12">
        <f>IF('Your plan'!C6+14&gt;'Your plan'!C8,"",IF('Your plan'!C6+14&lt;'Your plan'!C7,0,'Your plan'!C9*12*(1+'Your plan'!C10/100)^('Your plan'!C6+14-'Your plan'!C6)))</f>
      </c>
      <c r="G21" s="22">
        <f>IF('Your plan'!C6+14&gt;'Your plan'!C8,"",IF('Your plan'!C6+14&lt;'Your plan'!C7,(N(G20))+D21+E21,MAX(0,(N(G20))-'Your plan'!C9*12*(1+'Your plan'!C10/100)^('Your plan'!C6+14-'Your plan'!C6))*(1+'Your plan'!C12/100)))</f>
      </c>
      <c r="H21" s="12">
        <f>IF('Your plan'!C6+14&gt;'Your plan'!C8,"",IF('Your plan'!C6+14&lt;'Your plan'!C7,0,IF('Your plan'!C6+14='Your plan'!C7,MAX(0,'Your plan'!C22-'Your plan'!C9*12*(1+'Your plan'!C10/100)^('Your plan'!C6+14-'Your plan'!C6))*(1+'Your plan'!C12/100),MAX(0,(N(H20))-'Your plan'!C9*12*(1+'Your plan'!C10/100)^('Your plan'!C6+14-'Your plan'!C6))*(1+'Your plan'!C12/100))))</f>
      </c>
    </row>
    <row r="22" spans="1:8" x14ac:dyDescent="0.25">
      <c r="A22" s="1"/>
      <c r="B22" s="26">
        <f>IF('Your plan'!C6+15&gt;'Your plan'!C8,"",'Your plan'!C6+15)</f>
      </c>
      <c r="C22" s="27">
        <f>IF('Your plan'!C6+15&gt;'Your plan'!C8,"",IF('Your plan'!C6+15&lt;'Your plan'!C7,"Working","Retired"))</f>
      </c>
      <c r="D22" s="12">
        <f>IF('Your plan'!C6+15&gt;'Your plan'!C8,"",IF('Your plan'!C6+15&lt;'Your plan'!C7,'Your plan'!C14*12,0))</f>
      </c>
      <c r="E22" s="12">
        <f>IF('Your plan'!C6+15&gt;'Your plan'!C8,"",IF('Your plan'!C6+15&lt;'Your plan'!C7,(N(G21))*((1+((1+'Your plan'!C11/100)^(1/12)-1))^12-1)+'Your plan'!C14*(((1+((1+'Your plan'!C11/100)^(1/12)-1))^12-1)/((1+'Your plan'!C11/100)^(1/12)-1))*(1+((1+'Your plan'!C11/100)^(1/12)-1))-'Your plan'!C14*12,MAX(0,(N(G21))-'Your plan'!C9*12*(1+'Your plan'!C10/100)^('Your plan'!C6+15-'Your plan'!C6))*'Your plan'!C12/100))</f>
      </c>
      <c r="F22" s="12">
        <f>IF('Your plan'!C6+15&gt;'Your plan'!C8,"",IF('Your plan'!C6+15&lt;'Your plan'!C7,0,'Your plan'!C9*12*(1+'Your plan'!C10/100)^('Your plan'!C6+15-'Your plan'!C6)))</f>
      </c>
      <c r="G22" s="22">
        <f>IF('Your plan'!C6+15&gt;'Your plan'!C8,"",IF('Your plan'!C6+15&lt;'Your plan'!C7,(N(G21))+D22+E22,MAX(0,(N(G21))-'Your plan'!C9*12*(1+'Your plan'!C10/100)^('Your plan'!C6+15-'Your plan'!C6))*(1+'Your plan'!C12/100)))</f>
      </c>
      <c r="H22" s="12">
        <f>IF('Your plan'!C6+15&gt;'Your plan'!C8,"",IF('Your plan'!C6+15&lt;'Your plan'!C7,0,IF('Your plan'!C6+15='Your plan'!C7,MAX(0,'Your plan'!C22-'Your plan'!C9*12*(1+'Your plan'!C10/100)^('Your plan'!C6+15-'Your plan'!C6))*(1+'Your plan'!C12/100),MAX(0,(N(H21))-'Your plan'!C9*12*(1+'Your plan'!C10/100)^('Your plan'!C6+15-'Your plan'!C6))*(1+'Your plan'!C12/100))))</f>
      </c>
    </row>
    <row r="23" spans="1:8" x14ac:dyDescent="0.25">
      <c r="A23" s="1"/>
      <c r="B23" s="26">
        <f>IF('Your plan'!C6+16&gt;'Your plan'!C8,"",'Your plan'!C6+16)</f>
      </c>
      <c r="C23" s="27">
        <f>IF('Your plan'!C6+16&gt;'Your plan'!C8,"",IF('Your plan'!C6+16&lt;'Your plan'!C7,"Working","Retired"))</f>
      </c>
      <c r="D23" s="12">
        <f>IF('Your plan'!C6+16&gt;'Your plan'!C8,"",IF('Your plan'!C6+16&lt;'Your plan'!C7,'Your plan'!C14*12,0))</f>
      </c>
      <c r="E23" s="12">
        <f>IF('Your plan'!C6+16&gt;'Your plan'!C8,"",IF('Your plan'!C6+16&lt;'Your plan'!C7,(N(G22))*((1+((1+'Your plan'!C11/100)^(1/12)-1))^12-1)+'Your plan'!C14*(((1+((1+'Your plan'!C11/100)^(1/12)-1))^12-1)/((1+'Your plan'!C11/100)^(1/12)-1))*(1+((1+'Your plan'!C11/100)^(1/12)-1))-'Your plan'!C14*12,MAX(0,(N(G22))-'Your plan'!C9*12*(1+'Your plan'!C10/100)^('Your plan'!C6+16-'Your plan'!C6))*'Your plan'!C12/100))</f>
      </c>
      <c r="F23" s="12">
        <f>IF('Your plan'!C6+16&gt;'Your plan'!C8,"",IF('Your plan'!C6+16&lt;'Your plan'!C7,0,'Your plan'!C9*12*(1+'Your plan'!C10/100)^('Your plan'!C6+16-'Your plan'!C6)))</f>
      </c>
      <c r="G23" s="22">
        <f>IF('Your plan'!C6+16&gt;'Your plan'!C8,"",IF('Your plan'!C6+16&lt;'Your plan'!C7,(N(G22))+D23+E23,MAX(0,(N(G22))-'Your plan'!C9*12*(1+'Your plan'!C10/100)^('Your plan'!C6+16-'Your plan'!C6))*(1+'Your plan'!C12/100)))</f>
      </c>
      <c r="H23" s="12">
        <f>IF('Your plan'!C6+16&gt;'Your plan'!C8,"",IF('Your plan'!C6+16&lt;'Your plan'!C7,0,IF('Your plan'!C6+16='Your plan'!C7,MAX(0,'Your plan'!C22-'Your plan'!C9*12*(1+'Your plan'!C10/100)^('Your plan'!C6+16-'Your plan'!C6))*(1+'Your plan'!C12/100),MAX(0,(N(H22))-'Your plan'!C9*12*(1+'Your plan'!C10/100)^('Your plan'!C6+16-'Your plan'!C6))*(1+'Your plan'!C12/100))))</f>
      </c>
    </row>
    <row r="24" spans="1:8" x14ac:dyDescent="0.25">
      <c r="A24" s="1"/>
      <c r="B24" s="26">
        <f>IF('Your plan'!C6+17&gt;'Your plan'!C8,"",'Your plan'!C6+17)</f>
      </c>
      <c r="C24" s="27">
        <f>IF('Your plan'!C6+17&gt;'Your plan'!C8,"",IF('Your plan'!C6+17&lt;'Your plan'!C7,"Working","Retired"))</f>
      </c>
      <c r="D24" s="12">
        <f>IF('Your plan'!C6+17&gt;'Your plan'!C8,"",IF('Your plan'!C6+17&lt;'Your plan'!C7,'Your plan'!C14*12,0))</f>
      </c>
      <c r="E24" s="12">
        <f>IF('Your plan'!C6+17&gt;'Your plan'!C8,"",IF('Your plan'!C6+17&lt;'Your plan'!C7,(N(G23))*((1+((1+'Your plan'!C11/100)^(1/12)-1))^12-1)+'Your plan'!C14*(((1+((1+'Your plan'!C11/100)^(1/12)-1))^12-1)/((1+'Your plan'!C11/100)^(1/12)-1))*(1+((1+'Your plan'!C11/100)^(1/12)-1))-'Your plan'!C14*12,MAX(0,(N(G23))-'Your plan'!C9*12*(1+'Your plan'!C10/100)^('Your plan'!C6+17-'Your plan'!C6))*'Your plan'!C12/100))</f>
      </c>
      <c r="F24" s="12">
        <f>IF('Your plan'!C6+17&gt;'Your plan'!C8,"",IF('Your plan'!C6+17&lt;'Your plan'!C7,0,'Your plan'!C9*12*(1+'Your plan'!C10/100)^('Your plan'!C6+17-'Your plan'!C6)))</f>
      </c>
      <c r="G24" s="22">
        <f>IF('Your plan'!C6+17&gt;'Your plan'!C8,"",IF('Your plan'!C6+17&lt;'Your plan'!C7,(N(G23))+D24+E24,MAX(0,(N(G23))-'Your plan'!C9*12*(1+'Your plan'!C10/100)^('Your plan'!C6+17-'Your plan'!C6))*(1+'Your plan'!C12/100)))</f>
      </c>
      <c r="H24" s="12">
        <f>IF('Your plan'!C6+17&gt;'Your plan'!C8,"",IF('Your plan'!C6+17&lt;'Your plan'!C7,0,IF('Your plan'!C6+17='Your plan'!C7,MAX(0,'Your plan'!C22-'Your plan'!C9*12*(1+'Your plan'!C10/100)^('Your plan'!C6+17-'Your plan'!C6))*(1+'Your plan'!C12/100),MAX(0,(N(H23))-'Your plan'!C9*12*(1+'Your plan'!C10/100)^('Your plan'!C6+17-'Your plan'!C6))*(1+'Your plan'!C12/100))))</f>
      </c>
    </row>
    <row r="25" spans="1:8" x14ac:dyDescent="0.25">
      <c r="A25" s="1"/>
      <c r="B25" s="26">
        <f>IF('Your plan'!C6+18&gt;'Your plan'!C8,"",'Your plan'!C6+18)</f>
      </c>
      <c r="C25" s="27">
        <f>IF('Your plan'!C6+18&gt;'Your plan'!C8,"",IF('Your plan'!C6+18&lt;'Your plan'!C7,"Working","Retired"))</f>
      </c>
      <c r="D25" s="12">
        <f>IF('Your plan'!C6+18&gt;'Your plan'!C8,"",IF('Your plan'!C6+18&lt;'Your plan'!C7,'Your plan'!C14*12,0))</f>
      </c>
      <c r="E25" s="12">
        <f>IF('Your plan'!C6+18&gt;'Your plan'!C8,"",IF('Your plan'!C6+18&lt;'Your plan'!C7,(N(G24))*((1+((1+'Your plan'!C11/100)^(1/12)-1))^12-1)+'Your plan'!C14*(((1+((1+'Your plan'!C11/100)^(1/12)-1))^12-1)/((1+'Your plan'!C11/100)^(1/12)-1))*(1+((1+'Your plan'!C11/100)^(1/12)-1))-'Your plan'!C14*12,MAX(0,(N(G24))-'Your plan'!C9*12*(1+'Your plan'!C10/100)^('Your plan'!C6+18-'Your plan'!C6))*'Your plan'!C12/100))</f>
      </c>
      <c r="F25" s="12">
        <f>IF('Your plan'!C6+18&gt;'Your plan'!C8,"",IF('Your plan'!C6+18&lt;'Your plan'!C7,0,'Your plan'!C9*12*(1+'Your plan'!C10/100)^('Your plan'!C6+18-'Your plan'!C6)))</f>
      </c>
      <c r="G25" s="22">
        <f>IF('Your plan'!C6+18&gt;'Your plan'!C8,"",IF('Your plan'!C6+18&lt;'Your plan'!C7,(N(G24))+D25+E25,MAX(0,(N(G24))-'Your plan'!C9*12*(1+'Your plan'!C10/100)^('Your plan'!C6+18-'Your plan'!C6))*(1+'Your plan'!C12/100)))</f>
      </c>
      <c r="H25" s="12">
        <f>IF('Your plan'!C6+18&gt;'Your plan'!C8,"",IF('Your plan'!C6+18&lt;'Your plan'!C7,0,IF('Your plan'!C6+18='Your plan'!C7,MAX(0,'Your plan'!C22-'Your plan'!C9*12*(1+'Your plan'!C10/100)^('Your plan'!C6+18-'Your plan'!C6))*(1+'Your plan'!C12/100),MAX(0,(N(H24))-'Your plan'!C9*12*(1+'Your plan'!C10/100)^('Your plan'!C6+18-'Your plan'!C6))*(1+'Your plan'!C12/100))))</f>
      </c>
    </row>
    <row r="26" spans="1:8" x14ac:dyDescent="0.25">
      <c r="A26" s="1"/>
      <c r="B26" s="26">
        <f>IF('Your plan'!C6+19&gt;'Your plan'!C8,"",'Your plan'!C6+19)</f>
      </c>
      <c r="C26" s="27">
        <f>IF('Your plan'!C6+19&gt;'Your plan'!C8,"",IF('Your plan'!C6+19&lt;'Your plan'!C7,"Working","Retired"))</f>
      </c>
      <c r="D26" s="12">
        <f>IF('Your plan'!C6+19&gt;'Your plan'!C8,"",IF('Your plan'!C6+19&lt;'Your plan'!C7,'Your plan'!C14*12,0))</f>
      </c>
      <c r="E26" s="12">
        <f>IF('Your plan'!C6+19&gt;'Your plan'!C8,"",IF('Your plan'!C6+19&lt;'Your plan'!C7,(N(G25))*((1+((1+'Your plan'!C11/100)^(1/12)-1))^12-1)+'Your plan'!C14*(((1+((1+'Your plan'!C11/100)^(1/12)-1))^12-1)/((1+'Your plan'!C11/100)^(1/12)-1))*(1+((1+'Your plan'!C11/100)^(1/12)-1))-'Your plan'!C14*12,MAX(0,(N(G25))-'Your plan'!C9*12*(1+'Your plan'!C10/100)^('Your plan'!C6+19-'Your plan'!C6))*'Your plan'!C12/100))</f>
      </c>
      <c r="F26" s="12">
        <f>IF('Your plan'!C6+19&gt;'Your plan'!C8,"",IF('Your plan'!C6+19&lt;'Your plan'!C7,0,'Your plan'!C9*12*(1+'Your plan'!C10/100)^('Your plan'!C6+19-'Your plan'!C6)))</f>
      </c>
      <c r="G26" s="22">
        <f>IF('Your plan'!C6+19&gt;'Your plan'!C8,"",IF('Your plan'!C6+19&lt;'Your plan'!C7,(N(G25))+D26+E26,MAX(0,(N(G25))-'Your plan'!C9*12*(1+'Your plan'!C10/100)^('Your plan'!C6+19-'Your plan'!C6))*(1+'Your plan'!C12/100)))</f>
      </c>
      <c r="H26" s="12">
        <f>IF('Your plan'!C6+19&gt;'Your plan'!C8,"",IF('Your plan'!C6+19&lt;'Your plan'!C7,0,IF('Your plan'!C6+19='Your plan'!C7,MAX(0,'Your plan'!C22-'Your plan'!C9*12*(1+'Your plan'!C10/100)^('Your plan'!C6+19-'Your plan'!C6))*(1+'Your plan'!C12/100),MAX(0,(N(H25))-'Your plan'!C9*12*(1+'Your plan'!C10/100)^('Your plan'!C6+19-'Your plan'!C6))*(1+'Your plan'!C12/100))))</f>
      </c>
    </row>
    <row r="27" spans="1:8" x14ac:dyDescent="0.25">
      <c r="A27" s="1"/>
      <c r="B27" s="26">
        <f>IF('Your plan'!C6+20&gt;'Your plan'!C8,"",'Your plan'!C6+20)</f>
      </c>
      <c r="C27" s="27">
        <f>IF('Your plan'!C6+20&gt;'Your plan'!C8,"",IF('Your plan'!C6+20&lt;'Your plan'!C7,"Working","Retired"))</f>
      </c>
      <c r="D27" s="12">
        <f>IF('Your plan'!C6+20&gt;'Your plan'!C8,"",IF('Your plan'!C6+20&lt;'Your plan'!C7,'Your plan'!C14*12,0))</f>
      </c>
      <c r="E27" s="12">
        <f>IF('Your plan'!C6+20&gt;'Your plan'!C8,"",IF('Your plan'!C6+20&lt;'Your plan'!C7,(N(G26))*((1+((1+'Your plan'!C11/100)^(1/12)-1))^12-1)+'Your plan'!C14*(((1+((1+'Your plan'!C11/100)^(1/12)-1))^12-1)/((1+'Your plan'!C11/100)^(1/12)-1))*(1+((1+'Your plan'!C11/100)^(1/12)-1))-'Your plan'!C14*12,MAX(0,(N(G26))-'Your plan'!C9*12*(1+'Your plan'!C10/100)^('Your plan'!C6+20-'Your plan'!C6))*'Your plan'!C12/100))</f>
      </c>
      <c r="F27" s="12">
        <f>IF('Your plan'!C6+20&gt;'Your plan'!C8,"",IF('Your plan'!C6+20&lt;'Your plan'!C7,0,'Your plan'!C9*12*(1+'Your plan'!C10/100)^('Your plan'!C6+20-'Your plan'!C6)))</f>
      </c>
      <c r="G27" s="22">
        <f>IF('Your plan'!C6+20&gt;'Your plan'!C8,"",IF('Your plan'!C6+20&lt;'Your plan'!C7,(N(G26))+D27+E27,MAX(0,(N(G26))-'Your plan'!C9*12*(1+'Your plan'!C10/100)^('Your plan'!C6+20-'Your plan'!C6))*(1+'Your plan'!C12/100)))</f>
      </c>
      <c r="H27" s="12">
        <f>IF('Your plan'!C6+20&gt;'Your plan'!C8,"",IF('Your plan'!C6+20&lt;'Your plan'!C7,0,IF('Your plan'!C6+20='Your plan'!C7,MAX(0,'Your plan'!C22-'Your plan'!C9*12*(1+'Your plan'!C10/100)^('Your plan'!C6+20-'Your plan'!C6))*(1+'Your plan'!C12/100),MAX(0,(N(H26))-'Your plan'!C9*12*(1+'Your plan'!C10/100)^('Your plan'!C6+20-'Your plan'!C6))*(1+'Your plan'!C12/100))))</f>
      </c>
    </row>
    <row r="28" spans="1:8" x14ac:dyDescent="0.25">
      <c r="A28" s="1"/>
      <c r="B28" s="26">
        <f>IF('Your plan'!C6+21&gt;'Your plan'!C8,"",'Your plan'!C6+21)</f>
      </c>
      <c r="C28" s="27">
        <f>IF('Your plan'!C6+21&gt;'Your plan'!C8,"",IF('Your plan'!C6+21&lt;'Your plan'!C7,"Working","Retired"))</f>
      </c>
      <c r="D28" s="12">
        <f>IF('Your plan'!C6+21&gt;'Your plan'!C8,"",IF('Your plan'!C6+21&lt;'Your plan'!C7,'Your plan'!C14*12,0))</f>
      </c>
      <c r="E28" s="12">
        <f>IF('Your plan'!C6+21&gt;'Your plan'!C8,"",IF('Your plan'!C6+21&lt;'Your plan'!C7,(N(G27))*((1+((1+'Your plan'!C11/100)^(1/12)-1))^12-1)+'Your plan'!C14*(((1+((1+'Your plan'!C11/100)^(1/12)-1))^12-1)/((1+'Your plan'!C11/100)^(1/12)-1))*(1+((1+'Your plan'!C11/100)^(1/12)-1))-'Your plan'!C14*12,MAX(0,(N(G27))-'Your plan'!C9*12*(1+'Your plan'!C10/100)^('Your plan'!C6+21-'Your plan'!C6))*'Your plan'!C12/100))</f>
      </c>
      <c r="F28" s="12">
        <f>IF('Your plan'!C6+21&gt;'Your plan'!C8,"",IF('Your plan'!C6+21&lt;'Your plan'!C7,0,'Your plan'!C9*12*(1+'Your plan'!C10/100)^('Your plan'!C6+21-'Your plan'!C6)))</f>
      </c>
      <c r="G28" s="22">
        <f>IF('Your plan'!C6+21&gt;'Your plan'!C8,"",IF('Your plan'!C6+21&lt;'Your plan'!C7,(N(G27))+D28+E28,MAX(0,(N(G27))-'Your plan'!C9*12*(1+'Your plan'!C10/100)^('Your plan'!C6+21-'Your plan'!C6))*(1+'Your plan'!C12/100)))</f>
      </c>
      <c r="H28" s="12">
        <f>IF('Your plan'!C6+21&gt;'Your plan'!C8,"",IF('Your plan'!C6+21&lt;'Your plan'!C7,0,IF('Your plan'!C6+21='Your plan'!C7,MAX(0,'Your plan'!C22-'Your plan'!C9*12*(1+'Your plan'!C10/100)^('Your plan'!C6+21-'Your plan'!C6))*(1+'Your plan'!C12/100),MAX(0,(N(H27))-'Your plan'!C9*12*(1+'Your plan'!C10/100)^('Your plan'!C6+21-'Your plan'!C6))*(1+'Your plan'!C12/100))))</f>
      </c>
    </row>
    <row r="29" spans="1:8" x14ac:dyDescent="0.25">
      <c r="A29" s="1"/>
      <c r="B29" s="26">
        <f>IF('Your plan'!C6+22&gt;'Your plan'!C8,"",'Your plan'!C6+22)</f>
      </c>
      <c r="C29" s="27">
        <f>IF('Your plan'!C6+22&gt;'Your plan'!C8,"",IF('Your plan'!C6+22&lt;'Your plan'!C7,"Working","Retired"))</f>
      </c>
      <c r="D29" s="12">
        <f>IF('Your plan'!C6+22&gt;'Your plan'!C8,"",IF('Your plan'!C6+22&lt;'Your plan'!C7,'Your plan'!C14*12,0))</f>
      </c>
      <c r="E29" s="12">
        <f>IF('Your plan'!C6+22&gt;'Your plan'!C8,"",IF('Your plan'!C6+22&lt;'Your plan'!C7,(N(G28))*((1+((1+'Your plan'!C11/100)^(1/12)-1))^12-1)+'Your plan'!C14*(((1+((1+'Your plan'!C11/100)^(1/12)-1))^12-1)/((1+'Your plan'!C11/100)^(1/12)-1))*(1+((1+'Your plan'!C11/100)^(1/12)-1))-'Your plan'!C14*12,MAX(0,(N(G28))-'Your plan'!C9*12*(1+'Your plan'!C10/100)^('Your plan'!C6+22-'Your plan'!C6))*'Your plan'!C12/100))</f>
      </c>
      <c r="F29" s="12">
        <f>IF('Your plan'!C6+22&gt;'Your plan'!C8,"",IF('Your plan'!C6+22&lt;'Your plan'!C7,0,'Your plan'!C9*12*(1+'Your plan'!C10/100)^('Your plan'!C6+22-'Your plan'!C6)))</f>
      </c>
      <c r="G29" s="22">
        <f>IF('Your plan'!C6+22&gt;'Your plan'!C8,"",IF('Your plan'!C6+22&lt;'Your plan'!C7,(N(G28))+D29+E29,MAX(0,(N(G28))-'Your plan'!C9*12*(1+'Your plan'!C10/100)^('Your plan'!C6+22-'Your plan'!C6))*(1+'Your plan'!C12/100)))</f>
      </c>
      <c r="H29" s="12">
        <f>IF('Your plan'!C6+22&gt;'Your plan'!C8,"",IF('Your plan'!C6+22&lt;'Your plan'!C7,0,IF('Your plan'!C6+22='Your plan'!C7,MAX(0,'Your plan'!C22-'Your plan'!C9*12*(1+'Your plan'!C10/100)^('Your plan'!C6+22-'Your plan'!C6))*(1+'Your plan'!C12/100),MAX(0,(N(H28))-'Your plan'!C9*12*(1+'Your plan'!C10/100)^('Your plan'!C6+22-'Your plan'!C6))*(1+'Your plan'!C12/100))))</f>
      </c>
    </row>
    <row r="30" spans="1:8" x14ac:dyDescent="0.25">
      <c r="A30" s="1"/>
      <c r="B30" s="26">
        <f>IF('Your plan'!C6+23&gt;'Your plan'!C8,"",'Your plan'!C6+23)</f>
      </c>
      <c r="C30" s="27">
        <f>IF('Your plan'!C6+23&gt;'Your plan'!C8,"",IF('Your plan'!C6+23&lt;'Your plan'!C7,"Working","Retired"))</f>
      </c>
      <c r="D30" s="12">
        <f>IF('Your plan'!C6+23&gt;'Your plan'!C8,"",IF('Your plan'!C6+23&lt;'Your plan'!C7,'Your plan'!C14*12,0))</f>
      </c>
      <c r="E30" s="12">
        <f>IF('Your plan'!C6+23&gt;'Your plan'!C8,"",IF('Your plan'!C6+23&lt;'Your plan'!C7,(N(G29))*((1+((1+'Your plan'!C11/100)^(1/12)-1))^12-1)+'Your plan'!C14*(((1+((1+'Your plan'!C11/100)^(1/12)-1))^12-1)/((1+'Your plan'!C11/100)^(1/12)-1))*(1+((1+'Your plan'!C11/100)^(1/12)-1))-'Your plan'!C14*12,MAX(0,(N(G29))-'Your plan'!C9*12*(1+'Your plan'!C10/100)^('Your plan'!C6+23-'Your plan'!C6))*'Your plan'!C12/100))</f>
      </c>
      <c r="F30" s="12">
        <f>IF('Your plan'!C6+23&gt;'Your plan'!C8,"",IF('Your plan'!C6+23&lt;'Your plan'!C7,0,'Your plan'!C9*12*(1+'Your plan'!C10/100)^('Your plan'!C6+23-'Your plan'!C6)))</f>
      </c>
      <c r="G30" s="22">
        <f>IF('Your plan'!C6+23&gt;'Your plan'!C8,"",IF('Your plan'!C6+23&lt;'Your plan'!C7,(N(G29))+D30+E30,MAX(0,(N(G29))-'Your plan'!C9*12*(1+'Your plan'!C10/100)^('Your plan'!C6+23-'Your plan'!C6))*(1+'Your plan'!C12/100)))</f>
      </c>
      <c r="H30" s="12">
        <f>IF('Your plan'!C6+23&gt;'Your plan'!C8,"",IF('Your plan'!C6+23&lt;'Your plan'!C7,0,IF('Your plan'!C6+23='Your plan'!C7,MAX(0,'Your plan'!C22-'Your plan'!C9*12*(1+'Your plan'!C10/100)^('Your plan'!C6+23-'Your plan'!C6))*(1+'Your plan'!C12/100),MAX(0,(N(H29))-'Your plan'!C9*12*(1+'Your plan'!C10/100)^('Your plan'!C6+23-'Your plan'!C6))*(1+'Your plan'!C12/100))))</f>
      </c>
    </row>
    <row r="31" spans="1:8" x14ac:dyDescent="0.25">
      <c r="A31" s="1"/>
      <c r="B31" s="26">
        <f>IF('Your plan'!C6+24&gt;'Your plan'!C8,"",'Your plan'!C6+24)</f>
      </c>
      <c r="C31" s="27">
        <f>IF('Your plan'!C6+24&gt;'Your plan'!C8,"",IF('Your plan'!C6+24&lt;'Your plan'!C7,"Working","Retired"))</f>
      </c>
      <c r="D31" s="12">
        <f>IF('Your plan'!C6+24&gt;'Your plan'!C8,"",IF('Your plan'!C6+24&lt;'Your plan'!C7,'Your plan'!C14*12,0))</f>
      </c>
      <c r="E31" s="12">
        <f>IF('Your plan'!C6+24&gt;'Your plan'!C8,"",IF('Your plan'!C6+24&lt;'Your plan'!C7,(N(G30))*((1+((1+'Your plan'!C11/100)^(1/12)-1))^12-1)+'Your plan'!C14*(((1+((1+'Your plan'!C11/100)^(1/12)-1))^12-1)/((1+'Your plan'!C11/100)^(1/12)-1))*(1+((1+'Your plan'!C11/100)^(1/12)-1))-'Your plan'!C14*12,MAX(0,(N(G30))-'Your plan'!C9*12*(1+'Your plan'!C10/100)^('Your plan'!C6+24-'Your plan'!C6))*'Your plan'!C12/100))</f>
      </c>
      <c r="F31" s="12">
        <f>IF('Your plan'!C6+24&gt;'Your plan'!C8,"",IF('Your plan'!C6+24&lt;'Your plan'!C7,0,'Your plan'!C9*12*(1+'Your plan'!C10/100)^('Your plan'!C6+24-'Your plan'!C6)))</f>
      </c>
      <c r="G31" s="22">
        <f>IF('Your plan'!C6+24&gt;'Your plan'!C8,"",IF('Your plan'!C6+24&lt;'Your plan'!C7,(N(G30))+D31+E31,MAX(0,(N(G30))-'Your plan'!C9*12*(1+'Your plan'!C10/100)^('Your plan'!C6+24-'Your plan'!C6))*(1+'Your plan'!C12/100)))</f>
      </c>
      <c r="H31" s="12">
        <f>IF('Your plan'!C6+24&gt;'Your plan'!C8,"",IF('Your plan'!C6+24&lt;'Your plan'!C7,0,IF('Your plan'!C6+24='Your plan'!C7,MAX(0,'Your plan'!C22-'Your plan'!C9*12*(1+'Your plan'!C10/100)^('Your plan'!C6+24-'Your plan'!C6))*(1+'Your plan'!C12/100),MAX(0,(N(H30))-'Your plan'!C9*12*(1+'Your plan'!C10/100)^('Your plan'!C6+24-'Your plan'!C6))*(1+'Your plan'!C12/100))))</f>
      </c>
    </row>
    <row r="32" spans="1:8" x14ac:dyDescent="0.25">
      <c r="A32" s="1"/>
      <c r="B32" s="26">
        <f>IF('Your plan'!C6+25&gt;'Your plan'!C8,"",'Your plan'!C6+25)</f>
      </c>
      <c r="C32" s="27">
        <f>IF('Your plan'!C6+25&gt;'Your plan'!C8,"",IF('Your plan'!C6+25&lt;'Your plan'!C7,"Working","Retired"))</f>
      </c>
      <c r="D32" s="12">
        <f>IF('Your plan'!C6+25&gt;'Your plan'!C8,"",IF('Your plan'!C6+25&lt;'Your plan'!C7,'Your plan'!C14*12,0))</f>
      </c>
      <c r="E32" s="12">
        <f>IF('Your plan'!C6+25&gt;'Your plan'!C8,"",IF('Your plan'!C6+25&lt;'Your plan'!C7,(N(G31))*((1+((1+'Your plan'!C11/100)^(1/12)-1))^12-1)+'Your plan'!C14*(((1+((1+'Your plan'!C11/100)^(1/12)-1))^12-1)/((1+'Your plan'!C11/100)^(1/12)-1))*(1+((1+'Your plan'!C11/100)^(1/12)-1))-'Your plan'!C14*12,MAX(0,(N(G31))-'Your plan'!C9*12*(1+'Your plan'!C10/100)^('Your plan'!C6+25-'Your plan'!C6))*'Your plan'!C12/100))</f>
      </c>
      <c r="F32" s="12">
        <f>IF('Your plan'!C6+25&gt;'Your plan'!C8,"",IF('Your plan'!C6+25&lt;'Your plan'!C7,0,'Your plan'!C9*12*(1+'Your plan'!C10/100)^('Your plan'!C6+25-'Your plan'!C6)))</f>
      </c>
      <c r="G32" s="22">
        <f>IF('Your plan'!C6+25&gt;'Your plan'!C8,"",IF('Your plan'!C6+25&lt;'Your plan'!C7,(N(G31))+D32+E32,MAX(0,(N(G31))-'Your plan'!C9*12*(1+'Your plan'!C10/100)^('Your plan'!C6+25-'Your plan'!C6))*(1+'Your plan'!C12/100)))</f>
      </c>
      <c r="H32" s="12">
        <f>IF('Your plan'!C6+25&gt;'Your plan'!C8,"",IF('Your plan'!C6+25&lt;'Your plan'!C7,0,IF('Your plan'!C6+25='Your plan'!C7,MAX(0,'Your plan'!C22-'Your plan'!C9*12*(1+'Your plan'!C10/100)^('Your plan'!C6+25-'Your plan'!C6))*(1+'Your plan'!C12/100),MAX(0,(N(H31))-'Your plan'!C9*12*(1+'Your plan'!C10/100)^('Your plan'!C6+25-'Your plan'!C6))*(1+'Your plan'!C12/100))))</f>
      </c>
    </row>
    <row r="33" spans="1:8" x14ac:dyDescent="0.25">
      <c r="A33" s="1"/>
      <c r="B33" s="26">
        <f>IF('Your plan'!C6+26&gt;'Your plan'!C8,"",'Your plan'!C6+26)</f>
      </c>
      <c r="C33" s="27">
        <f>IF('Your plan'!C6+26&gt;'Your plan'!C8,"",IF('Your plan'!C6+26&lt;'Your plan'!C7,"Working","Retired"))</f>
      </c>
      <c r="D33" s="12">
        <f>IF('Your plan'!C6+26&gt;'Your plan'!C8,"",IF('Your plan'!C6+26&lt;'Your plan'!C7,'Your plan'!C14*12,0))</f>
      </c>
      <c r="E33" s="12">
        <f>IF('Your plan'!C6+26&gt;'Your plan'!C8,"",IF('Your plan'!C6+26&lt;'Your plan'!C7,(N(G32))*((1+((1+'Your plan'!C11/100)^(1/12)-1))^12-1)+'Your plan'!C14*(((1+((1+'Your plan'!C11/100)^(1/12)-1))^12-1)/((1+'Your plan'!C11/100)^(1/12)-1))*(1+((1+'Your plan'!C11/100)^(1/12)-1))-'Your plan'!C14*12,MAX(0,(N(G32))-'Your plan'!C9*12*(1+'Your plan'!C10/100)^('Your plan'!C6+26-'Your plan'!C6))*'Your plan'!C12/100))</f>
      </c>
      <c r="F33" s="12">
        <f>IF('Your plan'!C6+26&gt;'Your plan'!C8,"",IF('Your plan'!C6+26&lt;'Your plan'!C7,0,'Your plan'!C9*12*(1+'Your plan'!C10/100)^('Your plan'!C6+26-'Your plan'!C6)))</f>
      </c>
      <c r="G33" s="22">
        <f>IF('Your plan'!C6+26&gt;'Your plan'!C8,"",IF('Your plan'!C6+26&lt;'Your plan'!C7,(N(G32))+D33+E33,MAX(0,(N(G32))-'Your plan'!C9*12*(1+'Your plan'!C10/100)^('Your plan'!C6+26-'Your plan'!C6))*(1+'Your plan'!C12/100)))</f>
      </c>
      <c r="H33" s="12">
        <f>IF('Your plan'!C6+26&gt;'Your plan'!C8,"",IF('Your plan'!C6+26&lt;'Your plan'!C7,0,IF('Your plan'!C6+26='Your plan'!C7,MAX(0,'Your plan'!C22-'Your plan'!C9*12*(1+'Your plan'!C10/100)^('Your plan'!C6+26-'Your plan'!C6))*(1+'Your plan'!C12/100),MAX(0,(N(H32))-'Your plan'!C9*12*(1+'Your plan'!C10/100)^('Your plan'!C6+26-'Your plan'!C6))*(1+'Your plan'!C12/100))))</f>
      </c>
    </row>
    <row r="34" spans="1:8" x14ac:dyDescent="0.25">
      <c r="A34" s="1"/>
      <c r="B34" s="26">
        <f>IF('Your plan'!C6+27&gt;'Your plan'!C8,"",'Your plan'!C6+27)</f>
      </c>
      <c r="C34" s="27">
        <f>IF('Your plan'!C6+27&gt;'Your plan'!C8,"",IF('Your plan'!C6+27&lt;'Your plan'!C7,"Working","Retired"))</f>
      </c>
      <c r="D34" s="12">
        <f>IF('Your plan'!C6+27&gt;'Your plan'!C8,"",IF('Your plan'!C6+27&lt;'Your plan'!C7,'Your plan'!C14*12,0))</f>
      </c>
      <c r="E34" s="12">
        <f>IF('Your plan'!C6+27&gt;'Your plan'!C8,"",IF('Your plan'!C6+27&lt;'Your plan'!C7,(N(G33))*((1+((1+'Your plan'!C11/100)^(1/12)-1))^12-1)+'Your plan'!C14*(((1+((1+'Your plan'!C11/100)^(1/12)-1))^12-1)/((1+'Your plan'!C11/100)^(1/12)-1))*(1+((1+'Your plan'!C11/100)^(1/12)-1))-'Your plan'!C14*12,MAX(0,(N(G33))-'Your plan'!C9*12*(1+'Your plan'!C10/100)^('Your plan'!C6+27-'Your plan'!C6))*'Your plan'!C12/100))</f>
      </c>
      <c r="F34" s="12">
        <f>IF('Your plan'!C6+27&gt;'Your plan'!C8,"",IF('Your plan'!C6+27&lt;'Your plan'!C7,0,'Your plan'!C9*12*(1+'Your plan'!C10/100)^('Your plan'!C6+27-'Your plan'!C6)))</f>
      </c>
      <c r="G34" s="22">
        <f>IF('Your plan'!C6+27&gt;'Your plan'!C8,"",IF('Your plan'!C6+27&lt;'Your plan'!C7,(N(G33))+D34+E34,MAX(0,(N(G33))-'Your plan'!C9*12*(1+'Your plan'!C10/100)^('Your plan'!C6+27-'Your plan'!C6))*(1+'Your plan'!C12/100)))</f>
      </c>
      <c r="H34" s="12">
        <f>IF('Your plan'!C6+27&gt;'Your plan'!C8,"",IF('Your plan'!C6+27&lt;'Your plan'!C7,0,IF('Your plan'!C6+27='Your plan'!C7,MAX(0,'Your plan'!C22-'Your plan'!C9*12*(1+'Your plan'!C10/100)^('Your plan'!C6+27-'Your plan'!C6))*(1+'Your plan'!C12/100),MAX(0,(N(H33))-'Your plan'!C9*12*(1+'Your plan'!C10/100)^('Your plan'!C6+27-'Your plan'!C6))*(1+'Your plan'!C12/100))))</f>
      </c>
    </row>
    <row r="35" spans="1:8" x14ac:dyDescent="0.25">
      <c r="A35" s="1"/>
      <c r="B35" s="26">
        <f>IF('Your plan'!C6+28&gt;'Your plan'!C8,"",'Your plan'!C6+28)</f>
      </c>
      <c r="C35" s="27">
        <f>IF('Your plan'!C6+28&gt;'Your plan'!C8,"",IF('Your plan'!C6+28&lt;'Your plan'!C7,"Working","Retired"))</f>
      </c>
      <c r="D35" s="12">
        <f>IF('Your plan'!C6+28&gt;'Your plan'!C8,"",IF('Your plan'!C6+28&lt;'Your plan'!C7,'Your plan'!C14*12,0))</f>
      </c>
      <c r="E35" s="12">
        <f>IF('Your plan'!C6+28&gt;'Your plan'!C8,"",IF('Your plan'!C6+28&lt;'Your plan'!C7,(N(G34))*((1+((1+'Your plan'!C11/100)^(1/12)-1))^12-1)+'Your plan'!C14*(((1+((1+'Your plan'!C11/100)^(1/12)-1))^12-1)/((1+'Your plan'!C11/100)^(1/12)-1))*(1+((1+'Your plan'!C11/100)^(1/12)-1))-'Your plan'!C14*12,MAX(0,(N(G34))-'Your plan'!C9*12*(1+'Your plan'!C10/100)^('Your plan'!C6+28-'Your plan'!C6))*'Your plan'!C12/100))</f>
      </c>
      <c r="F35" s="12">
        <f>IF('Your plan'!C6+28&gt;'Your plan'!C8,"",IF('Your plan'!C6+28&lt;'Your plan'!C7,0,'Your plan'!C9*12*(1+'Your plan'!C10/100)^('Your plan'!C6+28-'Your plan'!C6)))</f>
      </c>
      <c r="G35" s="22">
        <f>IF('Your plan'!C6+28&gt;'Your plan'!C8,"",IF('Your plan'!C6+28&lt;'Your plan'!C7,(N(G34))+D35+E35,MAX(0,(N(G34))-'Your plan'!C9*12*(1+'Your plan'!C10/100)^('Your plan'!C6+28-'Your plan'!C6))*(1+'Your plan'!C12/100)))</f>
      </c>
      <c r="H35" s="12">
        <f>IF('Your plan'!C6+28&gt;'Your plan'!C8,"",IF('Your plan'!C6+28&lt;'Your plan'!C7,0,IF('Your plan'!C6+28='Your plan'!C7,MAX(0,'Your plan'!C22-'Your plan'!C9*12*(1+'Your plan'!C10/100)^('Your plan'!C6+28-'Your plan'!C6))*(1+'Your plan'!C12/100),MAX(0,(N(H34))-'Your plan'!C9*12*(1+'Your plan'!C10/100)^('Your plan'!C6+28-'Your plan'!C6))*(1+'Your plan'!C12/100))))</f>
      </c>
    </row>
    <row r="36" spans="1:8" x14ac:dyDescent="0.25">
      <c r="A36" s="1"/>
      <c r="B36" s="26">
        <f>IF('Your plan'!C6+29&gt;'Your plan'!C8,"",'Your plan'!C6+29)</f>
      </c>
      <c r="C36" s="27">
        <f>IF('Your plan'!C6+29&gt;'Your plan'!C8,"",IF('Your plan'!C6+29&lt;'Your plan'!C7,"Working","Retired"))</f>
      </c>
      <c r="D36" s="12">
        <f>IF('Your plan'!C6+29&gt;'Your plan'!C8,"",IF('Your plan'!C6+29&lt;'Your plan'!C7,'Your plan'!C14*12,0))</f>
      </c>
      <c r="E36" s="12">
        <f>IF('Your plan'!C6+29&gt;'Your plan'!C8,"",IF('Your plan'!C6+29&lt;'Your plan'!C7,(N(G35))*((1+((1+'Your plan'!C11/100)^(1/12)-1))^12-1)+'Your plan'!C14*(((1+((1+'Your plan'!C11/100)^(1/12)-1))^12-1)/((1+'Your plan'!C11/100)^(1/12)-1))*(1+((1+'Your plan'!C11/100)^(1/12)-1))-'Your plan'!C14*12,MAX(0,(N(G35))-'Your plan'!C9*12*(1+'Your plan'!C10/100)^('Your plan'!C6+29-'Your plan'!C6))*'Your plan'!C12/100))</f>
      </c>
      <c r="F36" s="12">
        <f>IF('Your plan'!C6+29&gt;'Your plan'!C8,"",IF('Your plan'!C6+29&lt;'Your plan'!C7,0,'Your plan'!C9*12*(1+'Your plan'!C10/100)^('Your plan'!C6+29-'Your plan'!C6)))</f>
      </c>
      <c r="G36" s="22">
        <f>IF('Your plan'!C6+29&gt;'Your plan'!C8,"",IF('Your plan'!C6+29&lt;'Your plan'!C7,(N(G35))+D36+E36,MAX(0,(N(G35))-'Your plan'!C9*12*(1+'Your plan'!C10/100)^('Your plan'!C6+29-'Your plan'!C6))*(1+'Your plan'!C12/100)))</f>
      </c>
      <c r="H36" s="12">
        <f>IF('Your plan'!C6+29&gt;'Your plan'!C8,"",IF('Your plan'!C6+29&lt;'Your plan'!C7,0,IF('Your plan'!C6+29='Your plan'!C7,MAX(0,'Your plan'!C22-'Your plan'!C9*12*(1+'Your plan'!C10/100)^('Your plan'!C6+29-'Your plan'!C6))*(1+'Your plan'!C12/100),MAX(0,(N(H35))-'Your plan'!C9*12*(1+'Your plan'!C10/100)^('Your plan'!C6+29-'Your plan'!C6))*(1+'Your plan'!C12/100))))</f>
      </c>
    </row>
    <row r="37" spans="1:8" x14ac:dyDescent="0.25">
      <c r="A37" s="1"/>
      <c r="B37" s="26">
        <f>IF('Your plan'!C6+30&gt;'Your plan'!C8,"",'Your plan'!C6+30)</f>
      </c>
      <c r="C37" s="27">
        <f>IF('Your plan'!C6+30&gt;'Your plan'!C8,"",IF('Your plan'!C6+30&lt;'Your plan'!C7,"Working","Retired"))</f>
      </c>
      <c r="D37" s="12">
        <f>IF('Your plan'!C6+30&gt;'Your plan'!C8,"",IF('Your plan'!C6+30&lt;'Your plan'!C7,'Your plan'!C14*12,0))</f>
      </c>
      <c r="E37" s="12">
        <f>IF('Your plan'!C6+30&gt;'Your plan'!C8,"",IF('Your plan'!C6+30&lt;'Your plan'!C7,(N(G36))*((1+((1+'Your plan'!C11/100)^(1/12)-1))^12-1)+'Your plan'!C14*(((1+((1+'Your plan'!C11/100)^(1/12)-1))^12-1)/((1+'Your plan'!C11/100)^(1/12)-1))*(1+((1+'Your plan'!C11/100)^(1/12)-1))-'Your plan'!C14*12,MAX(0,(N(G36))-'Your plan'!C9*12*(1+'Your plan'!C10/100)^('Your plan'!C6+30-'Your plan'!C6))*'Your plan'!C12/100))</f>
      </c>
      <c r="F37" s="12">
        <f>IF('Your plan'!C6+30&gt;'Your plan'!C8,"",IF('Your plan'!C6+30&lt;'Your plan'!C7,0,'Your plan'!C9*12*(1+'Your plan'!C10/100)^('Your plan'!C6+30-'Your plan'!C6)))</f>
      </c>
      <c r="G37" s="22">
        <f>IF('Your plan'!C6+30&gt;'Your plan'!C8,"",IF('Your plan'!C6+30&lt;'Your plan'!C7,(N(G36))+D37+E37,MAX(0,(N(G36))-'Your plan'!C9*12*(1+'Your plan'!C10/100)^('Your plan'!C6+30-'Your plan'!C6))*(1+'Your plan'!C12/100)))</f>
      </c>
      <c r="H37" s="12">
        <f>IF('Your plan'!C6+30&gt;'Your plan'!C8,"",IF('Your plan'!C6+30&lt;'Your plan'!C7,0,IF('Your plan'!C6+30='Your plan'!C7,MAX(0,'Your plan'!C22-'Your plan'!C9*12*(1+'Your plan'!C10/100)^('Your plan'!C6+30-'Your plan'!C6))*(1+'Your plan'!C12/100),MAX(0,(N(H36))-'Your plan'!C9*12*(1+'Your plan'!C10/100)^('Your plan'!C6+30-'Your plan'!C6))*(1+'Your plan'!C12/100))))</f>
      </c>
    </row>
    <row r="38" spans="1:8" x14ac:dyDescent="0.25">
      <c r="A38" s="1"/>
      <c r="B38" s="26">
        <f>IF('Your plan'!C6+31&gt;'Your plan'!C8,"",'Your plan'!C6+31)</f>
      </c>
      <c r="C38" s="27">
        <f>IF('Your plan'!C6+31&gt;'Your plan'!C8,"",IF('Your plan'!C6+31&lt;'Your plan'!C7,"Working","Retired"))</f>
      </c>
      <c r="D38" s="12">
        <f>IF('Your plan'!C6+31&gt;'Your plan'!C8,"",IF('Your plan'!C6+31&lt;'Your plan'!C7,'Your plan'!C14*12,0))</f>
      </c>
      <c r="E38" s="12">
        <f>IF('Your plan'!C6+31&gt;'Your plan'!C8,"",IF('Your plan'!C6+31&lt;'Your plan'!C7,(N(G37))*((1+((1+'Your plan'!C11/100)^(1/12)-1))^12-1)+'Your plan'!C14*(((1+((1+'Your plan'!C11/100)^(1/12)-1))^12-1)/((1+'Your plan'!C11/100)^(1/12)-1))*(1+((1+'Your plan'!C11/100)^(1/12)-1))-'Your plan'!C14*12,MAX(0,(N(G37))-'Your plan'!C9*12*(1+'Your plan'!C10/100)^('Your plan'!C6+31-'Your plan'!C6))*'Your plan'!C12/100))</f>
      </c>
      <c r="F38" s="12">
        <f>IF('Your plan'!C6+31&gt;'Your plan'!C8,"",IF('Your plan'!C6+31&lt;'Your plan'!C7,0,'Your plan'!C9*12*(1+'Your plan'!C10/100)^('Your plan'!C6+31-'Your plan'!C6)))</f>
      </c>
      <c r="G38" s="22">
        <f>IF('Your plan'!C6+31&gt;'Your plan'!C8,"",IF('Your plan'!C6+31&lt;'Your plan'!C7,(N(G37))+D38+E38,MAX(0,(N(G37))-'Your plan'!C9*12*(1+'Your plan'!C10/100)^('Your plan'!C6+31-'Your plan'!C6))*(1+'Your plan'!C12/100)))</f>
      </c>
      <c r="H38" s="12">
        <f>IF('Your plan'!C6+31&gt;'Your plan'!C8,"",IF('Your plan'!C6+31&lt;'Your plan'!C7,0,IF('Your plan'!C6+31='Your plan'!C7,MAX(0,'Your plan'!C22-'Your plan'!C9*12*(1+'Your plan'!C10/100)^('Your plan'!C6+31-'Your plan'!C6))*(1+'Your plan'!C12/100),MAX(0,(N(H37))-'Your plan'!C9*12*(1+'Your plan'!C10/100)^('Your plan'!C6+31-'Your plan'!C6))*(1+'Your plan'!C12/100))))</f>
      </c>
    </row>
    <row r="39" spans="1:8" x14ac:dyDescent="0.25">
      <c r="A39" s="1"/>
      <c r="B39" s="26">
        <f>IF('Your plan'!C6+32&gt;'Your plan'!C8,"",'Your plan'!C6+32)</f>
      </c>
      <c r="C39" s="27">
        <f>IF('Your plan'!C6+32&gt;'Your plan'!C8,"",IF('Your plan'!C6+32&lt;'Your plan'!C7,"Working","Retired"))</f>
      </c>
      <c r="D39" s="12">
        <f>IF('Your plan'!C6+32&gt;'Your plan'!C8,"",IF('Your plan'!C6+32&lt;'Your plan'!C7,'Your plan'!C14*12,0))</f>
      </c>
      <c r="E39" s="12">
        <f>IF('Your plan'!C6+32&gt;'Your plan'!C8,"",IF('Your plan'!C6+32&lt;'Your plan'!C7,(N(G38))*((1+((1+'Your plan'!C11/100)^(1/12)-1))^12-1)+'Your plan'!C14*(((1+((1+'Your plan'!C11/100)^(1/12)-1))^12-1)/((1+'Your plan'!C11/100)^(1/12)-1))*(1+((1+'Your plan'!C11/100)^(1/12)-1))-'Your plan'!C14*12,MAX(0,(N(G38))-'Your plan'!C9*12*(1+'Your plan'!C10/100)^('Your plan'!C6+32-'Your plan'!C6))*'Your plan'!C12/100))</f>
      </c>
      <c r="F39" s="12">
        <f>IF('Your plan'!C6+32&gt;'Your plan'!C8,"",IF('Your plan'!C6+32&lt;'Your plan'!C7,0,'Your plan'!C9*12*(1+'Your plan'!C10/100)^('Your plan'!C6+32-'Your plan'!C6)))</f>
      </c>
      <c r="G39" s="22">
        <f>IF('Your plan'!C6+32&gt;'Your plan'!C8,"",IF('Your plan'!C6+32&lt;'Your plan'!C7,(N(G38))+D39+E39,MAX(0,(N(G38))-'Your plan'!C9*12*(1+'Your plan'!C10/100)^('Your plan'!C6+32-'Your plan'!C6))*(1+'Your plan'!C12/100)))</f>
      </c>
      <c r="H39" s="12">
        <f>IF('Your plan'!C6+32&gt;'Your plan'!C8,"",IF('Your plan'!C6+32&lt;'Your plan'!C7,0,IF('Your plan'!C6+32='Your plan'!C7,MAX(0,'Your plan'!C22-'Your plan'!C9*12*(1+'Your plan'!C10/100)^('Your plan'!C6+32-'Your plan'!C6))*(1+'Your plan'!C12/100),MAX(0,(N(H38))-'Your plan'!C9*12*(1+'Your plan'!C10/100)^('Your plan'!C6+32-'Your plan'!C6))*(1+'Your plan'!C12/100))))</f>
      </c>
    </row>
    <row r="40" spans="1:8" x14ac:dyDescent="0.25">
      <c r="A40" s="1"/>
      <c r="B40" s="26">
        <f>IF('Your plan'!C6+33&gt;'Your plan'!C8,"",'Your plan'!C6+33)</f>
      </c>
      <c r="C40" s="27">
        <f>IF('Your plan'!C6+33&gt;'Your plan'!C8,"",IF('Your plan'!C6+33&lt;'Your plan'!C7,"Working","Retired"))</f>
      </c>
      <c r="D40" s="12">
        <f>IF('Your plan'!C6+33&gt;'Your plan'!C8,"",IF('Your plan'!C6+33&lt;'Your plan'!C7,'Your plan'!C14*12,0))</f>
      </c>
      <c r="E40" s="12">
        <f>IF('Your plan'!C6+33&gt;'Your plan'!C8,"",IF('Your plan'!C6+33&lt;'Your plan'!C7,(N(G39))*((1+((1+'Your plan'!C11/100)^(1/12)-1))^12-1)+'Your plan'!C14*(((1+((1+'Your plan'!C11/100)^(1/12)-1))^12-1)/((1+'Your plan'!C11/100)^(1/12)-1))*(1+((1+'Your plan'!C11/100)^(1/12)-1))-'Your plan'!C14*12,MAX(0,(N(G39))-'Your plan'!C9*12*(1+'Your plan'!C10/100)^('Your plan'!C6+33-'Your plan'!C6))*'Your plan'!C12/100))</f>
      </c>
      <c r="F40" s="12">
        <f>IF('Your plan'!C6+33&gt;'Your plan'!C8,"",IF('Your plan'!C6+33&lt;'Your plan'!C7,0,'Your plan'!C9*12*(1+'Your plan'!C10/100)^('Your plan'!C6+33-'Your plan'!C6)))</f>
      </c>
      <c r="G40" s="22">
        <f>IF('Your plan'!C6+33&gt;'Your plan'!C8,"",IF('Your plan'!C6+33&lt;'Your plan'!C7,(N(G39))+D40+E40,MAX(0,(N(G39))-'Your plan'!C9*12*(1+'Your plan'!C10/100)^('Your plan'!C6+33-'Your plan'!C6))*(1+'Your plan'!C12/100)))</f>
      </c>
      <c r="H40" s="12">
        <f>IF('Your plan'!C6+33&gt;'Your plan'!C8,"",IF('Your plan'!C6+33&lt;'Your plan'!C7,0,IF('Your plan'!C6+33='Your plan'!C7,MAX(0,'Your plan'!C22-'Your plan'!C9*12*(1+'Your plan'!C10/100)^('Your plan'!C6+33-'Your plan'!C6))*(1+'Your plan'!C12/100),MAX(0,(N(H39))-'Your plan'!C9*12*(1+'Your plan'!C10/100)^('Your plan'!C6+33-'Your plan'!C6))*(1+'Your plan'!C12/100))))</f>
      </c>
    </row>
    <row r="41" spans="1:8" x14ac:dyDescent="0.25">
      <c r="A41" s="1"/>
      <c r="B41" s="26">
        <f>IF('Your plan'!C6+34&gt;'Your plan'!C8,"",'Your plan'!C6+34)</f>
      </c>
      <c r="C41" s="27">
        <f>IF('Your plan'!C6+34&gt;'Your plan'!C8,"",IF('Your plan'!C6+34&lt;'Your plan'!C7,"Working","Retired"))</f>
      </c>
      <c r="D41" s="12">
        <f>IF('Your plan'!C6+34&gt;'Your plan'!C8,"",IF('Your plan'!C6+34&lt;'Your plan'!C7,'Your plan'!C14*12,0))</f>
      </c>
      <c r="E41" s="12">
        <f>IF('Your plan'!C6+34&gt;'Your plan'!C8,"",IF('Your plan'!C6+34&lt;'Your plan'!C7,(N(G40))*((1+((1+'Your plan'!C11/100)^(1/12)-1))^12-1)+'Your plan'!C14*(((1+((1+'Your plan'!C11/100)^(1/12)-1))^12-1)/((1+'Your plan'!C11/100)^(1/12)-1))*(1+((1+'Your plan'!C11/100)^(1/12)-1))-'Your plan'!C14*12,MAX(0,(N(G40))-'Your plan'!C9*12*(1+'Your plan'!C10/100)^('Your plan'!C6+34-'Your plan'!C6))*'Your plan'!C12/100))</f>
      </c>
      <c r="F41" s="12">
        <f>IF('Your plan'!C6+34&gt;'Your plan'!C8,"",IF('Your plan'!C6+34&lt;'Your plan'!C7,0,'Your plan'!C9*12*(1+'Your plan'!C10/100)^('Your plan'!C6+34-'Your plan'!C6)))</f>
      </c>
      <c r="G41" s="22">
        <f>IF('Your plan'!C6+34&gt;'Your plan'!C8,"",IF('Your plan'!C6+34&lt;'Your plan'!C7,(N(G40))+D41+E41,MAX(0,(N(G40))-'Your plan'!C9*12*(1+'Your plan'!C10/100)^('Your plan'!C6+34-'Your plan'!C6))*(1+'Your plan'!C12/100)))</f>
      </c>
      <c r="H41" s="12">
        <f>IF('Your plan'!C6+34&gt;'Your plan'!C8,"",IF('Your plan'!C6+34&lt;'Your plan'!C7,0,IF('Your plan'!C6+34='Your plan'!C7,MAX(0,'Your plan'!C22-'Your plan'!C9*12*(1+'Your plan'!C10/100)^('Your plan'!C6+34-'Your plan'!C6))*(1+'Your plan'!C12/100),MAX(0,(N(H40))-'Your plan'!C9*12*(1+'Your plan'!C10/100)^('Your plan'!C6+34-'Your plan'!C6))*(1+'Your plan'!C12/100))))</f>
      </c>
    </row>
    <row r="42" spans="1:8" x14ac:dyDescent="0.25">
      <c r="A42" s="1"/>
      <c r="B42" s="26">
        <f>IF('Your plan'!C6+35&gt;'Your plan'!C8,"",'Your plan'!C6+35)</f>
      </c>
      <c r="C42" s="27">
        <f>IF('Your plan'!C6+35&gt;'Your plan'!C8,"",IF('Your plan'!C6+35&lt;'Your plan'!C7,"Working","Retired"))</f>
      </c>
      <c r="D42" s="12">
        <f>IF('Your plan'!C6+35&gt;'Your plan'!C8,"",IF('Your plan'!C6+35&lt;'Your plan'!C7,'Your plan'!C14*12,0))</f>
      </c>
      <c r="E42" s="12">
        <f>IF('Your plan'!C6+35&gt;'Your plan'!C8,"",IF('Your plan'!C6+35&lt;'Your plan'!C7,(N(G41))*((1+((1+'Your plan'!C11/100)^(1/12)-1))^12-1)+'Your plan'!C14*(((1+((1+'Your plan'!C11/100)^(1/12)-1))^12-1)/((1+'Your plan'!C11/100)^(1/12)-1))*(1+((1+'Your plan'!C11/100)^(1/12)-1))-'Your plan'!C14*12,MAX(0,(N(G41))-'Your plan'!C9*12*(1+'Your plan'!C10/100)^('Your plan'!C6+35-'Your plan'!C6))*'Your plan'!C12/100))</f>
      </c>
      <c r="F42" s="12">
        <f>IF('Your plan'!C6+35&gt;'Your plan'!C8,"",IF('Your plan'!C6+35&lt;'Your plan'!C7,0,'Your plan'!C9*12*(1+'Your plan'!C10/100)^('Your plan'!C6+35-'Your plan'!C6)))</f>
      </c>
      <c r="G42" s="22">
        <f>IF('Your plan'!C6+35&gt;'Your plan'!C8,"",IF('Your plan'!C6+35&lt;'Your plan'!C7,(N(G41))+D42+E42,MAX(0,(N(G41))-'Your plan'!C9*12*(1+'Your plan'!C10/100)^('Your plan'!C6+35-'Your plan'!C6))*(1+'Your plan'!C12/100)))</f>
      </c>
      <c r="H42" s="12">
        <f>IF('Your plan'!C6+35&gt;'Your plan'!C8,"",IF('Your plan'!C6+35&lt;'Your plan'!C7,0,IF('Your plan'!C6+35='Your plan'!C7,MAX(0,'Your plan'!C22-'Your plan'!C9*12*(1+'Your plan'!C10/100)^('Your plan'!C6+35-'Your plan'!C6))*(1+'Your plan'!C12/100),MAX(0,(N(H41))-'Your plan'!C9*12*(1+'Your plan'!C10/100)^('Your plan'!C6+35-'Your plan'!C6))*(1+'Your plan'!C12/100))))</f>
      </c>
    </row>
    <row r="43" spans="1:8" x14ac:dyDescent="0.25">
      <c r="A43" s="1"/>
      <c r="B43" s="26">
        <f>IF('Your plan'!C6+36&gt;'Your plan'!C8,"",'Your plan'!C6+36)</f>
      </c>
      <c r="C43" s="27">
        <f>IF('Your plan'!C6+36&gt;'Your plan'!C8,"",IF('Your plan'!C6+36&lt;'Your plan'!C7,"Working","Retired"))</f>
      </c>
      <c r="D43" s="12">
        <f>IF('Your plan'!C6+36&gt;'Your plan'!C8,"",IF('Your plan'!C6+36&lt;'Your plan'!C7,'Your plan'!C14*12,0))</f>
      </c>
      <c r="E43" s="12">
        <f>IF('Your plan'!C6+36&gt;'Your plan'!C8,"",IF('Your plan'!C6+36&lt;'Your plan'!C7,(N(G42))*((1+((1+'Your plan'!C11/100)^(1/12)-1))^12-1)+'Your plan'!C14*(((1+((1+'Your plan'!C11/100)^(1/12)-1))^12-1)/((1+'Your plan'!C11/100)^(1/12)-1))*(1+((1+'Your plan'!C11/100)^(1/12)-1))-'Your plan'!C14*12,MAX(0,(N(G42))-'Your plan'!C9*12*(1+'Your plan'!C10/100)^('Your plan'!C6+36-'Your plan'!C6))*'Your plan'!C12/100))</f>
      </c>
      <c r="F43" s="12">
        <f>IF('Your plan'!C6+36&gt;'Your plan'!C8,"",IF('Your plan'!C6+36&lt;'Your plan'!C7,0,'Your plan'!C9*12*(1+'Your plan'!C10/100)^('Your plan'!C6+36-'Your plan'!C6)))</f>
      </c>
      <c r="G43" s="22">
        <f>IF('Your plan'!C6+36&gt;'Your plan'!C8,"",IF('Your plan'!C6+36&lt;'Your plan'!C7,(N(G42))+D43+E43,MAX(0,(N(G42))-'Your plan'!C9*12*(1+'Your plan'!C10/100)^('Your plan'!C6+36-'Your plan'!C6))*(1+'Your plan'!C12/100)))</f>
      </c>
      <c r="H43" s="12">
        <f>IF('Your plan'!C6+36&gt;'Your plan'!C8,"",IF('Your plan'!C6+36&lt;'Your plan'!C7,0,IF('Your plan'!C6+36='Your plan'!C7,MAX(0,'Your plan'!C22-'Your plan'!C9*12*(1+'Your plan'!C10/100)^('Your plan'!C6+36-'Your plan'!C6))*(1+'Your plan'!C12/100),MAX(0,(N(H42))-'Your plan'!C9*12*(1+'Your plan'!C10/100)^('Your plan'!C6+36-'Your plan'!C6))*(1+'Your plan'!C12/100))))</f>
      </c>
    </row>
    <row r="44" spans="1:8" x14ac:dyDescent="0.25">
      <c r="A44" s="1"/>
      <c r="B44" s="26">
        <f>IF('Your plan'!C6+37&gt;'Your plan'!C8,"",'Your plan'!C6+37)</f>
      </c>
      <c r="C44" s="27">
        <f>IF('Your plan'!C6+37&gt;'Your plan'!C8,"",IF('Your plan'!C6+37&lt;'Your plan'!C7,"Working","Retired"))</f>
      </c>
      <c r="D44" s="12">
        <f>IF('Your plan'!C6+37&gt;'Your plan'!C8,"",IF('Your plan'!C6+37&lt;'Your plan'!C7,'Your plan'!C14*12,0))</f>
      </c>
      <c r="E44" s="12">
        <f>IF('Your plan'!C6+37&gt;'Your plan'!C8,"",IF('Your plan'!C6+37&lt;'Your plan'!C7,(N(G43))*((1+((1+'Your plan'!C11/100)^(1/12)-1))^12-1)+'Your plan'!C14*(((1+((1+'Your plan'!C11/100)^(1/12)-1))^12-1)/((1+'Your plan'!C11/100)^(1/12)-1))*(1+((1+'Your plan'!C11/100)^(1/12)-1))-'Your plan'!C14*12,MAX(0,(N(G43))-'Your plan'!C9*12*(1+'Your plan'!C10/100)^('Your plan'!C6+37-'Your plan'!C6))*'Your plan'!C12/100))</f>
      </c>
      <c r="F44" s="12">
        <f>IF('Your plan'!C6+37&gt;'Your plan'!C8,"",IF('Your plan'!C6+37&lt;'Your plan'!C7,0,'Your plan'!C9*12*(1+'Your plan'!C10/100)^('Your plan'!C6+37-'Your plan'!C6)))</f>
      </c>
      <c r="G44" s="22">
        <f>IF('Your plan'!C6+37&gt;'Your plan'!C8,"",IF('Your plan'!C6+37&lt;'Your plan'!C7,(N(G43))+D44+E44,MAX(0,(N(G43))-'Your plan'!C9*12*(1+'Your plan'!C10/100)^('Your plan'!C6+37-'Your plan'!C6))*(1+'Your plan'!C12/100)))</f>
      </c>
      <c r="H44" s="12">
        <f>IF('Your plan'!C6+37&gt;'Your plan'!C8,"",IF('Your plan'!C6+37&lt;'Your plan'!C7,0,IF('Your plan'!C6+37='Your plan'!C7,MAX(0,'Your plan'!C22-'Your plan'!C9*12*(1+'Your plan'!C10/100)^('Your plan'!C6+37-'Your plan'!C6))*(1+'Your plan'!C12/100),MAX(0,(N(H43))-'Your plan'!C9*12*(1+'Your plan'!C10/100)^('Your plan'!C6+37-'Your plan'!C6))*(1+'Your plan'!C12/100))))</f>
      </c>
    </row>
    <row r="45" spans="1:8" x14ac:dyDescent="0.25">
      <c r="A45" s="1"/>
      <c r="B45" s="26">
        <f>IF('Your plan'!C6+38&gt;'Your plan'!C8,"",'Your plan'!C6+38)</f>
      </c>
      <c r="C45" s="27">
        <f>IF('Your plan'!C6+38&gt;'Your plan'!C8,"",IF('Your plan'!C6+38&lt;'Your plan'!C7,"Working","Retired"))</f>
      </c>
      <c r="D45" s="12">
        <f>IF('Your plan'!C6+38&gt;'Your plan'!C8,"",IF('Your plan'!C6+38&lt;'Your plan'!C7,'Your plan'!C14*12,0))</f>
      </c>
      <c r="E45" s="12">
        <f>IF('Your plan'!C6+38&gt;'Your plan'!C8,"",IF('Your plan'!C6+38&lt;'Your plan'!C7,(N(G44))*((1+((1+'Your plan'!C11/100)^(1/12)-1))^12-1)+'Your plan'!C14*(((1+((1+'Your plan'!C11/100)^(1/12)-1))^12-1)/((1+'Your plan'!C11/100)^(1/12)-1))*(1+((1+'Your plan'!C11/100)^(1/12)-1))-'Your plan'!C14*12,MAX(0,(N(G44))-'Your plan'!C9*12*(1+'Your plan'!C10/100)^('Your plan'!C6+38-'Your plan'!C6))*'Your plan'!C12/100))</f>
      </c>
      <c r="F45" s="12">
        <f>IF('Your plan'!C6+38&gt;'Your plan'!C8,"",IF('Your plan'!C6+38&lt;'Your plan'!C7,0,'Your plan'!C9*12*(1+'Your plan'!C10/100)^('Your plan'!C6+38-'Your plan'!C6)))</f>
      </c>
      <c r="G45" s="22">
        <f>IF('Your plan'!C6+38&gt;'Your plan'!C8,"",IF('Your plan'!C6+38&lt;'Your plan'!C7,(N(G44))+D45+E45,MAX(0,(N(G44))-'Your plan'!C9*12*(1+'Your plan'!C10/100)^('Your plan'!C6+38-'Your plan'!C6))*(1+'Your plan'!C12/100)))</f>
      </c>
      <c r="H45" s="12">
        <f>IF('Your plan'!C6+38&gt;'Your plan'!C8,"",IF('Your plan'!C6+38&lt;'Your plan'!C7,0,IF('Your plan'!C6+38='Your plan'!C7,MAX(0,'Your plan'!C22-'Your plan'!C9*12*(1+'Your plan'!C10/100)^('Your plan'!C6+38-'Your plan'!C6))*(1+'Your plan'!C12/100),MAX(0,(N(H44))-'Your plan'!C9*12*(1+'Your plan'!C10/100)^('Your plan'!C6+38-'Your plan'!C6))*(1+'Your plan'!C12/100))))</f>
      </c>
    </row>
    <row r="46" spans="1:8" x14ac:dyDescent="0.25">
      <c r="A46" s="1"/>
      <c r="B46" s="26">
        <f>IF('Your plan'!C6+39&gt;'Your plan'!C8,"",'Your plan'!C6+39)</f>
      </c>
      <c r="C46" s="27">
        <f>IF('Your plan'!C6+39&gt;'Your plan'!C8,"",IF('Your plan'!C6+39&lt;'Your plan'!C7,"Working","Retired"))</f>
      </c>
      <c r="D46" s="12">
        <f>IF('Your plan'!C6+39&gt;'Your plan'!C8,"",IF('Your plan'!C6+39&lt;'Your plan'!C7,'Your plan'!C14*12,0))</f>
      </c>
      <c r="E46" s="12">
        <f>IF('Your plan'!C6+39&gt;'Your plan'!C8,"",IF('Your plan'!C6+39&lt;'Your plan'!C7,(N(G45))*((1+((1+'Your plan'!C11/100)^(1/12)-1))^12-1)+'Your plan'!C14*(((1+((1+'Your plan'!C11/100)^(1/12)-1))^12-1)/((1+'Your plan'!C11/100)^(1/12)-1))*(1+((1+'Your plan'!C11/100)^(1/12)-1))-'Your plan'!C14*12,MAX(0,(N(G45))-'Your plan'!C9*12*(1+'Your plan'!C10/100)^('Your plan'!C6+39-'Your plan'!C6))*'Your plan'!C12/100))</f>
      </c>
      <c r="F46" s="12">
        <f>IF('Your plan'!C6+39&gt;'Your plan'!C8,"",IF('Your plan'!C6+39&lt;'Your plan'!C7,0,'Your plan'!C9*12*(1+'Your plan'!C10/100)^('Your plan'!C6+39-'Your plan'!C6)))</f>
      </c>
      <c r="G46" s="22">
        <f>IF('Your plan'!C6+39&gt;'Your plan'!C8,"",IF('Your plan'!C6+39&lt;'Your plan'!C7,(N(G45))+D46+E46,MAX(0,(N(G45))-'Your plan'!C9*12*(1+'Your plan'!C10/100)^('Your plan'!C6+39-'Your plan'!C6))*(1+'Your plan'!C12/100)))</f>
      </c>
      <c r="H46" s="12">
        <f>IF('Your plan'!C6+39&gt;'Your plan'!C8,"",IF('Your plan'!C6+39&lt;'Your plan'!C7,0,IF('Your plan'!C6+39='Your plan'!C7,MAX(0,'Your plan'!C22-'Your plan'!C9*12*(1+'Your plan'!C10/100)^('Your plan'!C6+39-'Your plan'!C6))*(1+'Your plan'!C12/100),MAX(0,(N(H45))-'Your plan'!C9*12*(1+'Your plan'!C10/100)^('Your plan'!C6+39-'Your plan'!C6))*(1+'Your plan'!C12/100))))</f>
      </c>
    </row>
    <row r="47" spans="1:8" x14ac:dyDescent="0.25">
      <c r="A47" s="1"/>
      <c r="B47" s="26">
        <f>IF('Your plan'!C6+40&gt;'Your plan'!C8,"",'Your plan'!C6+40)</f>
      </c>
      <c r="C47" s="27">
        <f>IF('Your plan'!C6+40&gt;'Your plan'!C8,"",IF('Your plan'!C6+40&lt;'Your plan'!C7,"Working","Retired"))</f>
      </c>
      <c r="D47" s="12">
        <f>IF('Your plan'!C6+40&gt;'Your plan'!C8,"",IF('Your plan'!C6+40&lt;'Your plan'!C7,'Your plan'!C14*12,0))</f>
      </c>
      <c r="E47" s="12">
        <f>IF('Your plan'!C6+40&gt;'Your plan'!C8,"",IF('Your plan'!C6+40&lt;'Your plan'!C7,(N(G46))*((1+((1+'Your plan'!C11/100)^(1/12)-1))^12-1)+'Your plan'!C14*(((1+((1+'Your plan'!C11/100)^(1/12)-1))^12-1)/((1+'Your plan'!C11/100)^(1/12)-1))*(1+((1+'Your plan'!C11/100)^(1/12)-1))-'Your plan'!C14*12,MAX(0,(N(G46))-'Your plan'!C9*12*(1+'Your plan'!C10/100)^('Your plan'!C6+40-'Your plan'!C6))*'Your plan'!C12/100))</f>
      </c>
      <c r="F47" s="12">
        <f>IF('Your plan'!C6+40&gt;'Your plan'!C8,"",IF('Your plan'!C6+40&lt;'Your plan'!C7,0,'Your plan'!C9*12*(1+'Your plan'!C10/100)^('Your plan'!C6+40-'Your plan'!C6)))</f>
      </c>
      <c r="G47" s="22">
        <f>IF('Your plan'!C6+40&gt;'Your plan'!C8,"",IF('Your plan'!C6+40&lt;'Your plan'!C7,(N(G46))+D47+E47,MAX(0,(N(G46))-'Your plan'!C9*12*(1+'Your plan'!C10/100)^('Your plan'!C6+40-'Your plan'!C6))*(1+'Your plan'!C12/100)))</f>
      </c>
      <c r="H47" s="12">
        <f>IF('Your plan'!C6+40&gt;'Your plan'!C8,"",IF('Your plan'!C6+40&lt;'Your plan'!C7,0,IF('Your plan'!C6+40='Your plan'!C7,MAX(0,'Your plan'!C22-'Your plan'!C9*12*(1+'Your plan'!C10/100)^('Your plan'!C6+40-'Your plan'!C6))*(1+'Your plan'!C12/100),MAX(0,(N(H46))-'Your plan'!C9*12*(1+'Your plan'!C10/100)^('Your plan'!C6+40-'Your plan'!C6))*(1+'Your plan'!C12/100))))</f>
      </c>
    </row>
    <row r="48" spans="1:8" x14ac:dyDescent="0.25">
      <c r="A48" s="1"/>
      <c r="B48" s="26">
        <f>IF('Your plan'!C6+41&gt;'Your plan'!C8,"",'Your plan'!C6+41)</f>
      </c>
      <c r="C48" s="27">
        <f>IF('Your plan'!C6+41&gt;'Your plan'!C8,"",IF('Your plan'!C6+41&lt;'Your plan'!C7,"Working","Retired"))</f>
      </c>
      <c r="D48" s="12">
        <f>IF('Your plan'!C6+41&gt;'Your plan'!C8,"",IF('Your plan'!C6+41&lt;'Your plan'!C7,'Your plan'!C14*12,0))</f>
      </c>
      <c r="E48" s="12">
        <f>IF('Your plan'!C6+41&gt;'Your plan'!C8,"",IF('Your plan'!C6+41&lt;'Your plan'!C7,(N(G47))*((1+((1+'Your plan'!C11/100)^(1/12)-1))^12-1)+'Your plan'!C14*(((1+((1+'Your plan'!C11/100)^(1/12)-1))^12-1)/((1+'Your plan'!C11/100)^(1/12)-1))*(1+((1+'Your plan'!C11/100)^(1/12)-1))-'Your plan'!C14*12,MAX(0,(N(G47))-'Your plan'!C9*12*(1+'Your plan'!C10/100)^('Your plan'!C6+41-'Your plan'!C6))*'Your plan'!C12/100))</f>
      </c>
      <c r="F48" s="12">
        <f>IF('Your plan'!C6+41&gt;'Your plan'!C8,"",IF('Your plan'!C6+41&lt;'Your plan'!C7,0,'Your plan'!C9*12*(1+'Your plan'!C10/100)^('Your plan'!C6+41-'Your plan'!C6)))</f>
      </c>
      <c r="G48" s="22">
        <f>IF('Your plan'!C6+41&gt;'Your plan'!C8,"",IF('Your plan'!C6+41&lt;'Your plan'!C7,(N(G47))+D48+E48,MAX(0,(N(G47))-'Your plan'!C9*12*(1+'Your plan'!C10/100)^('Your plan'!C6+41-'Your plan'!C6))*(1+'Your plan'!C12/100)))</f>
      </c>
      <c r="H48" s="12">
        <f>IF('Your plan'!C6+41&gt;'Your plan'!C8,"",IF('Your plan'!C6+41&lt;'Your plan'!C7,0,IF('Your plan'!C6+41='Your plan'!C7,MAX(0,'Your plan'!C22-'Your plan'!C9*12*(1+'Your plan'!C10/100)^('Your plan'!C6+41-'Your plan'!C6))*(1+'Your plan'!C12/100),MAX(0,(N(H47))-'Your plan'!C9*12*(1+'Your plan'!C10/100)^('Your plan'!C6+41-'Your plan'!C6))*(1+'Your plan'!C12/100))))</f>
      </c>
    </row>
    <row r="49" spans="1:8" x14ac:dyDescent="0.25">
      <c r="A49" s="1"/>
      <c r="B49" s="26">
        <f>IF('Your plan'!C6+42&gt;'Your plan'!C8,"",'Your plan'!C6+42)</f>
      </c>
      <c r="C49" s="27">
        <f>IF('Your plan'!C6+42&gt;'Your plan'!C8,"",IF('Your plan'!C6+42&lt;'Your plan'!C7,"Working","Retired"))</f>
      </c>
      <c r="D49" s="12">
        <f>IF('Your plan'!C6+42&gt;'Your plan'!C8,"",IF('Your plan'!C6+42&lt;'Your plan'!C7,'Your plan'!C14*12,0))</f>
      </c>
      <c r="E49" s="12">
        <f>IF('Your plan'!C6+42&gt;'Your plan'!C8,"",IF('Your plan'!C6+42&lt;'Your plan'!C7,(N(G48))*((1+((1+'Your plan'!C11/100)^(1/12)-1))^12-1)+'Your plan'!C14*(((1+((1+'Your plan'!C11/100)^(1/12)-1))^12-1)/((1+'Your plan'!C11/100)^(1/12)-1))*(1+((1+'Your plan'!C11/100)^(1/12)-1))-'Your plan'!C14*12,MAX(0,(N(G48))-'Your plan'!C9*12*(1+'Your plan'!C10/100)^('Your plan'!C6+42-'Your plan'!C6))*'Your plan'!C12/100))</f>
      </c>
      <c r="F49" s="12">
        <f>IF('Your plan'!C6+42&gt;'Your plan'!C8,"",IF('Your plan'!C6+42&lt;'Your plan'!C7,0,'Your plan'!C9*12*(1+'Your plan'!C10/100)^('Your plan'!C6+42-'Your plan'!C6)))</f>
      </c>
      <c r="G49" s="22">
        <f>IF('Your plan'!C6+42&gt;'Your plan'!C8,"",IF('Your plan'!C6+42&lt;'Your plan'!C7,(N(G48))+D49+E49,MAX(0,(N(G48))-'Your plan'!C9*12*(1+'Your plan'!C10/100)^('Your plan'!C6+42-'Your plan'!C6))*(1+'Your plan'!C12/100)))</f>
      </c>
      <c r="H49" s="12">
        <f>IF('Your plan'!C6+42&gt;'Your plan'!C8,"",IF('Your plan'!C6+42&lt;'Your plan'!C7,0,IF('Your plan'!C6+42='Your plan'!C7,MAX(0,'Your plan'!C22-'Your plan'!C9*12*(1+'Your plan'!C10/100)^('Your plan'!C6+42-'Your plan'!C6))*(1+'Your plan'!C12/100),MAX(0,(N(H48))-'Your plan'!C9*12*(1+'Your plan'!C10/100)^('Your plan'!C6+42-'Your plan'!C6))*(1+'Your plan'!C12/100))))</f>
      </c>
    </row>
    <row r="50" spans="1:8" x14ac:dyDescent="0.25">
      <c r="A50" s="1"/>
      <c r="B50" s="26">
        <f>IF('Your plan'!C6+43&gt;'Your plan'!C8,"",'Your plan'!C6+43)</f>
      </c>
      <c r="C50" s="27">
        <f>IF('Your plan'!C6+43&gt;'Your plan'!C8,"",IF('Your plan'!C6+43&lt;'Your plan'!C7,"Working","Retired"))</f>
      </c>
      <c r="D50" s="12">
        <f>IF('Your plan'!C6+43&gt;'Your plan'!C8,"",IF('Your plan'!C6+43&lt;'Your plan'!C7,'Your plan'!C14*12,0))</f>
      </c>
      <c r="E50" s="12">
        <f>IF('Your plan'!C6+43&gt;'Your plan'!C8,"",IF('Your plan'!C6+43&lt;'Your plan'!C7,(N(G49))*((1+((1+'Your plan'!C11/100)^(1/12)-1))^12-1)+'Your plan'!C14*(((1+((1+'Your plan'!C11/100)^(1/12)-1))^12-1)/((1+'Your plan'!C11/100)^(1/12)-1))*(1+((1+'Your plan'!C11/100)^(1/12)-1))-'Your plan'!C14*12,MAX(0,(N(G49))-'Your plan'!C9*12*(1+'Your plan'!C10/100)^('Your plan'!C6+43-'Your plan'!C6))*'Your plan'!C12/100))</f>
      </c>
      <c r="F50" s="12">
        <f>IF('Your plan'!C6+43&gt;'Your plan'!C8,"",IF('Your plan'!C6+43&lt;'Your plan'!C7,0,'Your plan'!C9*12*(1+'Your plan'!C10/100)^('Your plan'!C6+43-'Your plan'!C6)))</f>
      </c>
      <c r="G50" s="22">
        <f>IF('Your plan'!C6+43&gt;'Your plan'!C8,"",IF('Your plan'!C6+43&lt;'Your plan'!C7,(N(G49))+D50+E50,MAX(0,(N(G49))-'Your plan'!C9*12*(1+'Your plan'!C10/100)^('Your plan'!C6+43-'Your plan'!C6))*(1+'Your plan'!C12/100)))</f>
      </c>
      <c r="H50" s="12">
        <f>IF('Your plan'!C6+43&gt;'Your plan'!C8,"",IF('Your plan'!C6+43&lt;'Your plan'!C7,0,IF('Your plan'!C6+43='Your plan'!C7,MAX(0,'Your plan'!C22-'Your plan'!C9*12*(1+'Your plan'!C10/100)^('Your plan'!C6+43-'Your plan'!C6))*(1+'Your plan'!C12/100),MAX(0,(N(H49))-'Your plan'!C9*12*(1+'Your plan'!C10/100)^('Your plan'!C6+43-'Your plan'!C6))*(1+'Your plan'!C12/100))))</f>
      </c>
    </row>
    <row r="51" spans="1:8" x14ac:dyDescent="0.25">
      <c r="A51" s="1"/>
      <c r="B51" s="26">
        <f>IF('Your plan'!C6+44&gt;'Your plan'!C8,"",'Your plan'!C6+44)</f>
      </c>
      <c r="C51" s="27">
        <f>IF('Your plan'!C6+44&gt;'Your plan'!C8,"",IF('Your plan'!C6+44&lt;'Your plan'!C7,"Working","Retired"))</f>
      </c>
      <c r="D51" s="12">
        <f>IF('Your plan'!C6+44&gt;'Your plan'!C8,"",IF('Your plan'!C6+44&lt;'Your plan'!C7,'Your plan'!C14*12,0))</f>
      </c>
      <c r="E51" s="12">
        <f>IF('Your plan'!C6+44&gt;'Your plan'!C8,"",IF('Your plan'!C6+44&lt;'Your plan'!C7,(N(G50))*((1+((1+'Your plan'!C11/100)^(1/12)-1))^12-1)+'Your plan'!C14*(((1+((1+'Your plan'!C11/100)^(1/12)-1))^12-1)/((1+'Your plan'!C11/100)^(1/12)-1))*(1+((1+'Your plan'!C11/100)^(1/12)-1))-'Your plan'!C14*12,MAX(0,(N(G50))-'Your plan'!C9*12*(1+'Your plan'!C10/100)^('Your plan'!C6+44-'Your plan'!C6))*'Your plan'!C12/100))</f>
      </c>
      <c r="F51" s="12">
        <f>IF('Your plan'!C6+44&gt;'Your plan'!C8,"",IF('Your plan'!C6+44&lt;'Your plan'!C7,0,'Your plan'!C9*12*(1+'Your plan'!C10/100)^('Your plan'!C6+44-'Your plan'!C6)))</f>
      </c>
      <c r="G51" s="22">
        <f>IF('Your plan'!C6+44&gt;'Your plan'!C8,"",IF('Your plan'!C6+44&lt;'Your plan'!C7,(N(G50))+D51+E51,MAX(0,(N(G50))-'Your plan'!C9*12*(1+'Your plan'!C10/100)^('Your plan'!C6+44-'Your plan'!C6))*(1+'Your plan'!C12/100)))</f>
      </c>
      <c r="H51" s="12">
        <f>IF('Your plan'!C6+44&gt;'Your plan'!C8,"",IF('Your plan'!C6+44&lt;'Your plan'!C7,0,IF('Your plan'!C6+44='Your plan'!C7,MAX(0,'Your plan'!C22-'Your plan'!C9*12*(1+'Your plan'!C10/100)^('Your plan'!C6+44-'Your plan'!C6))*(1+'Your plan'!C12/100),MAX(0,(N(H50))-'Your plan'!C9*12*(1+'Your plan'!C10/100)^('Your plan'!C6+44-'Your plan'!C6))*(1+'Your plan'!C12/100))))</f>
      </c>
    </row>
    <row r="52" spans="1:8" x14ac:dyDescent="0.25">
      <c r="A52" s="1"/>
      <c r="B52" s="26">
        <f>IF('Your plan'!C6+45&gt;'Your plan'!C8,"",'Your plan'!C6+45)</f>
      </c>
      <c r="C52" s="27">
        <f>IF('Your plan'!C6+45&gt;'Your plan'!C8,"",IF('Your plan'!C6+45&lt;'Your plan'!C7,"Working","Retired"))</f>
      </c>
      <c r="D52" s="12">
        <f>IF('Your plan'!C6+45&gt;'Your plan'!C8,"",IF('Your plan'!C6+45&lt;'Your plan'!C7,'Your plan'!C14*12,0))</f>
      </c>
      <c r="E52" s="12">
        <f>IF('Your plan'!C6+45&gt;'Your plan'!C8,"",IF('Your plan'!C6+45&lt;'Your plan'!C7,(N(G51))*((1+((1+'Your plan'!C11/100)^(1/12)-1))^12-1)+'Your plan'!C14*(((1+((1+'Your plan'!C11/100)^(1/12)-1))^12-1)/((1+'Your plan'!C11/100)^(1/12)-1))*(1+((1+'Your plan'!C11/100)^(1/12)-1))-'Your plan'!C14*12,MAX(0,(N(G51))-'Your plan'!C9*12*(1+'Your plan'!C10/100)^('Your plan'!C6+45-'Your plan'!C6))*'Your plan'!C12/100))</f>
      </c>
      <c r="F52" s="12">
        <f>IF('Your plan'!C6+45&gt;'Your plan'!C8,"",IF('Your plan'!C6+45&lt;'Your plan'!C7,0,'Your plan'!C9*12*(1+'Your plan'!C10/100)^('Your plan'!C6+45-'Your plan'!C6)))</f>
      </c>
      <c r="G52" s="22">
        <f>IF('Your plan'!C6+45&gt;'Your plan'!C8,"",IF('Your plan'!C6+45&lt;'Your plan'!C7,(N(G51))+D52+E52,MAX(0,(N(G51))-'Your plan'!C9*12*(1+'Your plan'!C10/100)^('Your plan'!C6+45-'Your plan'!C6))*(1+'Your plan'!C12/100)))</f>
      </c>
      <c r="H52" s="12">
        <f>IF('Your plan'!C6+45&gt;'Your plan'!C8,"",IF('Your plan'!C6+45&lt;'Your plan'!C7,0,IF('Your plan'!C6+45='Your plan'!C7,MAX(0,'Your plan'!C22-'Your plan'!C9*12*(1+'Your plan'!C10/100)^('Your plan'!C6+45-'Your plan'!C6))*(1+'Your plan'!C12/100),MAX(0,(N(H51))-'Your plan'!C9*12*(1+'Your plan'!C10/100)^('Your plan'!C6+45-'Your plan'!C6))*(1+'Your plan'!C12/100))))</f>
      </c>
    </row>
    <row r="53" spans="1:8" x14ac:dyDescent="0.25">
      <c r="A53" s="1"/>
      <c r="B53" s="26">
        <f>IF('Your plan'!C6+46&gt;'Your plan'!C8,"",'Your plan'!C6+46)</f>
      </c>
      <c r="C53" s="27">
        <f>IF('Your plan'!C6+46&gt;'Your plan'!C8,"",IF('Your plan'!C6+46&lt;'Your plan'!C7,"Working","Retired"))</f>
      </c>
      <c r="D53" s="12">
        <f>IF('Your plan'!C6+46&gt;'Your plan'!C8,"",IF('Your plan'!C6+46&lt;'Your plan'!C7,'Your plan'!C14*12,0))</f>
      </c>
      <c r="E53" s="12">
        <f>IF('Your plan'!C6+46&gt;'Your plan'!C8,"",IF('Your plan'!C6+46&lt;'Your plan'!C7,(N(G52))*((1+((1+'Your plan'!C11/100)^(1/12)-1))^12-1)+'Your plan'!C14*(((1+((1+'Your plan'!C11/100)^(1/12)-1))^12-1)/((1+'Your plan'!C11/100)^(1/12)-1))*(1+((1+'Your plan'!C11/100)^(1/12)-1))-'Your plan'!C14*12,MAX(0,(N(G52))-'Your plan'!C9*12*(1+'Your plan'!C10/100)^('Your plan'!C6+46-'Your plan'!C6))*'Your plan'!C12/100))</f>
      </c>
      <c r="F53" s="12">
        <f>IF('Your plan'!C6+46&gt;'Your plan'!C8,"",IF('Your plan'!C6+46&lt;'Your plan'!C7,0,'Your plan'!C9*12*(1+'Your plan'!C10/100)^('Your plan'!C6+46-'Your plan'!C6)))</f>
      </c>
      <c r="G53" s="22">
        <f>IF('Your plan'!C6+46&gt;'Your plan'!C8,"",IF('Your plan'!C6+46&lt;'Your plan'!C7,(N(G52))+D53+E53,MAX(0,(N(G52))-'Your plan'!C9*12*(1+'Your plan'!C10/100)^('Your plan'!C6+46-'Your plan'!C6))*(1+'Your plan'!C12/100)))</f>
      </c>
      <c r="H53" s="12">
        <f>IF('Your plan'!C6+46&gt;'Your plan'!C8,"",IF('Your plan'!C6+46&lt;'Your plan'!C7,0,IF('Your plan'!C6+46='Your plan'!C7,MAX(0,'Your plan'!C22-'Your plan'!C9*12*(1+'Your plan'!C10/100)^('Your plan'!C6+46-'Your plan'!C6))*(1+'Your plan'!C12/100),MAX(0,(N(H52))-'Your plan'!C9*12*(1+'Your plan'!C10/100)^('Your plan'!C6+46-'Your plan'!C6))*(1+'Your plan'!C12/100))))</f>
      </c>
    </row>
    <row r="54" spans="1:8" x14ac:dyDescent="0.25">
      <c r="A54" s="1"/>
      <c r="B54" s="26">
        <f>IF('Your plan'!C6+47&gt;'Your plan'!C8,"",'Your plan'!C6+47)</f>
      </c>
      <c r="C54" s="27">
        <f>IF('Your plan'!C6+47&gt;'Your plan'!C8,"",IF('Your plan'!C6+47&lt;'Your plan'!C7,"Working","Retired"))</f>
      </c>
      <c r="D54" s="12">
        <f>IF('Your plan'!C6+47&gt;'Your plan'!C8,"",IF('Your plan'!C6+47&lt;'Your plan'!C7,'Your plan'!C14*12,0))</f>
      </c>
      <c r="E54" s="12">
        <f>IF('Your plan'!C6+47&gt;'Your plan'!C8,"",IF('Your plan'!C6+47&lt;'Your plan'!C7,(N(G53))*((1+((1+'Your plan'!C11/100)^(1/12)-1))^12-1)+'Your plan'!C14*(((1+((1+'Your plan'!C11/100)^(1/12)-1))^12-1)/((1+'Your plan'!C11/100)^(1/12)-1))*(1+((1+'Your plan'!C11/100)^(1/12)-1))-'Your plan'!C14*12,MAX(0,(N(G53))-'Your plan'!C9*12*(1+'Your plan'!C10/100)^('Your plan'!C6+47-'Your plan'!C6))*'Your plan'!C12/100))</f>
      </c>
      <c r="F54" s="12">
        <f>IF('Your plan'!C6+47&gt;'Your plan'!C8,"",IF('Your plan'!C6+47&lt;'Your plan'!C7,0,'Your plan'!C9*12*(1+'Your plan'!C10/100)^('Your plan'!C6+47-'Your plan'!C6)))</f>
      </c>
      <c r="G54" s="22">
        <f>IF('Your plan'!C6+47&gt;'Your plan'!C8,"",IF('Your plan'!C6+47&lt;'Your plan'!C7,(N(G53))+D54+E54,MAX(0,(N(G53))-'Your plan'!C9*12*(1+'Your plan'!C10/100)^('Your plan'!C6+47-'Your plan'!C6))*(1+'Your plan'!C12/100)))</f>
      </c>
      <c r="H54" s="12">
        <f>IF('Your plan'!C6+47&gt;'Your plan'!C8,"",IF('Your plan'!C6+47&lt;'Your plan'!C7,0,IF('Your plan'!C6+47='Your plan'!C7,MAX(0,'Your plan'!C22-'Your plan'!C9*12*(1+'Your plan'!C10/100)^('Your plan'!C6+47-'Your plan'!C6))*(1+'Your plan'!C12/100),MAX(0,(N(H53))-'Your plan'!C9*12*(1+'Your plan'!C10/100)^('Your plan'!C6+47-'Your plan'!C6))*(1+'Your plan'!C12/100))))</f>
      </c>
    </row>
    <row r="55" spans="1:8" x14ac:dyDescent="0.25">
      <c r="A55" s="1"/>
      <c r="B55" s="26">
        <f>IF('Your plan'!C6+48&gt;'Your plan'!C8,"",'Your plan'!C6+48)</f>
      </c>
      <c r="C55" s="27">
        <f>IF('Your plan'!C6+48&gt;'Your plan'!C8,"",IF('Your plan'!C6+48&lt;'Your plan'!C7,"Working","Retired"))</f>
      </c>
      <c r="D55" s="12">
        <f>IF('Your plan'!C6+48&gt;'Your plan'!C8,"",IF('Your plan'!C6+48&lt;'Your plan'!C7,'Your plan'!C14*12,0))</f>
      </c>
      <c r="E55" s="12">
        <f>IF('Your plan'!C6+48&gt;'Your plan'!C8,"",IF('Your plan'!C6+48&lt;'Your plan'!C7,(N(G54))*((1+((1+'Your plan'!C11/100)^(1/12)-1))^12-1)+'Your plan'!C14*(((1+((1+'Your plan'!C11/100)^(1/12)-1))^12-1)/((1+'Your plan'!C11/100)^(1/12)-1))*(1+((1+'Your plan'!C11/100)^(1/12)-1))-'Your plan'!C14*12,MAX(0,(N(G54))-'Your plan'!C9*12*(1+'Your plan'!C10/100)^('Your plan'!C6+48-'Your plan'!C6))*'Your plan'!C12/100))</f>
      </c>
      <c r="F55" s="12">
        <f>IF('Your plan'!C6+48&gt;'Your plan'!C8,"",IF('Your plan'!C6+48&lt;'Your plan'!C7,0,'Your plan'!C9*12*(1+'Your plan'!C10/100)^('Your plan'!C6+48-'Your plan'!C6)))</f>
      </c>
      <c r="G55" s="22">
        <f>IF('Your plan'!C6+48&gt;'Your plan'!C8,"",IF('Your plan'!C6+48&lt;'Your plan'!C7,(N(G54))+D55+E55,MAX(0,(N(G54))-'Your plan'!C9*12*(1+'Your plan'!C10/100)^('Your plan'!C6+48-'Your plan'!C6))*(1+'Your plan'!C12/100)))</f>
      </c>
      <c r="H55" s="12">
        <f>IF('Your plan'!C6+48&gt;'Your plan'!C8,"",IF('Your plan'!C6+48&lt;'Your plan'!C7,0,IF('Your plan'!C6+48='Your plan'!C7,MAX(0,'Your plan'!C22-'Your plan'!C9*12*(1+'Your plan'!C10/100)^('Your plan'!C6+48-'Your plan'!C6))*(1+'Your plan'!C12/100),MAX(0,(N(H54))-'Your plan'!C9*12*(1+'Your plan'!C10/100)^('Your plan'!C6+48-'Your plan'!C6))*(1+'Your plan'!C12/100))))</f>
      </c>
    </row>
    <row r="56" spans="1:8" x14ac:dyDescent="0.25">
      <c r="A56" s="1"/>
      <c r="B56" s="26">
        <f>IF('Your plan'!C6+49&gt;'Your plan'!C8,"",'Your plan'!C6+49)</f>
      </c>
      <c r="C56" s="27">
        <f>IF('Your plan'!C6+49&gt;'Your plan'!C8,"",IF('Your plan'!C6+49&lt;'Your plan'!C7,"Working","Retired"))</f>
      </c>
      <c r="D56" s="12">
        <f>IF('Your plan'!C6+49&gt;'Your plan'!C8,"",IF('Your plan'!C6+49&lt;'Your plan'!C7,'Your plan'!C14*12,0))</f>
      </c>
      <c r="E56" s="12">
        <f>IF('Your plan'!C6+49&gt;'Your plan'!C8,"",IF('Your plan'!C6+49&lt;'Your plan'!C7,(N(G55))*((1+((1+'Your plan'!C11/100)^(1/12)-1))^12-1)+'Your plan'!C14*(((1+((1+'Your plan'!C11/100)^(1/12)-1))^12-1)/((1+'Your plan'!C11/100)^(1/12)-1))*(1+((1+'Your plan'!C11/100)^(1/12)-1))-'Your plan'!C14*12,MAX(0,(N(G55))-'Your plan'!C9*12*(1+'Your plan'!C10/100)^('Your plan'!C6+49-'Your plan'!C6))*'Your plan'!C12/100))</f>
      </c>
      <c r="F56" s="12">
        <f>IF('Your plan'!C6+49&gt;'Your plan'!C8,"",IF('Your plan'!C6+49&lt;'Your plan'!C7,0,'Your plan'!C9*12*(1+'Your plan'!C10/100)^('Your plan'!C6+49-'Your plan'!C6)))</f>
      </c>
      <c r="G56" s="22">
        <f>IF('Your plan'!C6+49&gt;'Your plan'!C8,"",IF('Your plan'!C6+49&lt;'Your plan'!C7,(N(G55))+D56+E56,MAX(0,(N(G55))-'Your plan'!C9*12*(1+'Your plan'!C10/100)^('Your plan'!C6+49-'Your plan'!C6))*(1+'Your plan'!C12/100)))</f>
      </c>
      <c r="H56" s="12">
        <f>IF('Your plan'!C6+49&gt;'Your plan'!C8,"",IF('Your plan'!C6+49&lt;'Your plan'!C7,0,IF('Your plan'!C6+49='Your plan'!C7,MAX(0,'Your plan'!C22-'Your plan'!C9*12*(1+'Your plan'!C10/100)^('Your plan'!C6+49-'Your plan'!C6))*(1+'Your plan'!C12/100),MAX(0,(N(H55))-'Your plan'!C9*12*(1+'Your plan'!C10/100)^('Your plan'!C6+49-'Your plan'!C6))*(1+'Your plan'!C12/100))))</f>
      </c>
    </row>
    <row r="57" spans="1:8" x14ac:dyDescent="0.25">
      <c r="A57" s="1"/>
      <c r="B57" s="26">
        <f>IF('Your plan'!C6+50&gt;'Your plan'!C8,"",'Your plan'!C6+50)</f>
      </c>
      <c r="C57" s="27">
        <f>IF('Your plan'!C6+50&gt;'Your plan'!C8,"",IF('Your plan'!C6+50&lt;'Your plan'!C7,"Working","Retired"))</f>
      </c>
      <c r="D57" s="12">
        <f>IF('Your plan'!C6+50&gt;'Your plan'!C8,"",IF('Your plan'!C6+50&lt;'Your plan'!C7,'Your plan'!C14*12,0))</f>
      </c>
      <c r="E57" s="12">
        <f>IF('Your plan'!C6+50&gt;'Your plan'!C8,"",IF('Your plan'!C6+50&lt;'Your plan'!C7,(N(G56))*((1+((1+'Your plan'!C11/100)^(1/12)-1))^12-1)+'Your plan'!C14*(((1+((1+'Your plan'!C11/100)^(1/12)-1))^12-1)/((1+'Your plan'!C11/100)^(1/12)-1))*(1+((1+'Your plan'!C11/100)^(1/12)-1))-'Your plan'!C14*12,MAX(0,(N(G56))-'Your plan'!C9*12*(1+'Your plan'!C10/100)^('Your plan'!C6+50-'Your plan'!C6))*'Your plan'!C12/100))</f>
      </c>
      <c r="F57" s="12">
        <f>IF('Your plan'!C6+50&gt;'Your plan'!C8,"",IF('Your plan'!C6+50&lt;'Your plan'!C7,0,'Your plan'!C9*12*(1+'Your plan'!C10/100)^('Your plan'!C6+50-'Your plan'!C6)))</f>
      </c>
      <c r="G57" s="22">
        <f>IF('Your plan'!C6+50&gt;'Your plan'!C8,"",IF('Your plan'!C6+50&lt;'Your plan'!C7,(N(G56))+D57+E57,MAX(0,(N(G56))-'Your plan'!C9*12*(1+'Your plan'!C10/100)^('Your plan'!C6+50-'Your plan'!C6))*(1+'Your plan'!C12/100)))</f>
      </c>
      <c r="H57" s="12">
        <f>IF('Your plan'!C6+50&gt;'Your plan'!C8,"",IF('Your plan'!C6+50&lt;'Your plan'!C7,0,IF('Your plan'!C6+50='Your plan'!C7,MAX(0,'Your plan'!C22-'Your plan'!C9*12*(1+'Your plan'!C10/100)^('Your plan'!C6+50-'Your plan'!C6))*(1+'Your plan'!C12/100),MAX(0,(N(H56))-'Your plan'!C9*12*(1+'Your plan'!C10/100)^('Your plan'!C6+50-'Your plan'!C6))*(1+'Your plan'!C12/100))))</f>
      </c>
    </row>
    <row r="58" spans="1:8" x14ac:dyDescent="0.25">
      <c r="A58" s="1"/>
      <c r="B58" s="26">
        <f>IF('Your plan'!C6+51&gt;'Your plan'!C8,"",'Your plan'!C6+51)</f>
      </c>
      <c r="C58" s="27">
        <f>IF('Your plan'!C6+51&gt;'Your plan'!C8,"",IF('Your plan'!C6+51&lt;'Your plan'!C7,"Working","Retired"))</f>
      </c>
      <c r="D58" s="12">
        <f>IF('Your plan'!C6+51&gt;'Your plan'!C8,"",IF('Your plan'!C6+51&lt;'Your plan'!C7,'Your plan'!C14*12,0))</f>
      </c>
      <c r="E58" s="12">
        <f>IF('Your plan'!C6+51&gt;'Your plan'!C8,"",IF('Your plan'!C6+51&lt;'Your plan'!C7,(N(G57))*((1+((1+'Your plan'!C11/100)^(1/12)-1))^12-1)+'Your plan'!C14*(((1+((1+'Your plan'!C11/100)^(1/12)-1))^12-1)/((1+'Your plan'!C11/100)^(1/12)-1))*(1+((1+'Your plan'!C11/100)^(1/12)-1))-'Your plan'!C14*12,MAX(0,(N(G57))-'Your plan'!C9*12*(1+'Your plan'!C10/100)^('Your plan'!C6+51-'Your plan'!C6))*'Your plan'!C12/100))</f>
      </c>
      <c r="F58" s="12">
        <f>IF('Your plan'!C6+51&gt;'Your plan'!C8,"",IF('Your plan'!C6+51&lt;'Your plan'!C7,0,'Your plan'!C9*12*(1+'Your plan'!C10/100)^('Your plan'!C6+51-'Your plan'!C6)))</f>
      </c>
      <c r="G58" s="22">
        <f>IF('Your plan'!C6+51&gt;'Your plan'!C8,"",IF('Your plan'!C6+51&lt;'Your plan'!C7,(N(G57))+D58+E58,MAX(0,(N(G57))-'Your plan'!C9*12*(1+'Your plan'!C10/100)^('Your plan'!C6+51-'Your plan'!C6))*(1+'Your plan'!C12/100)))</f>
      </c>
      <c r="H58" s="12">
        <f>IF('Your plan'!C6+51&gt;'Your plan'!C8,"",IF('Your plan'!C6+51&lt;'Your plan'!C7,0,IF('Your plan'!C6+51='Your plan'!C7,MAX(0,'Your plan'!C22-'Your plan'!C9*12*(1+'Your plan'!C10/100)^('Your plan'!C6+51-'Your plan'!C6))*(1+'Your plan'!C12/100),MAX(0,(N(H57))-'Your plan'!C9*12*(1+'Your plan'!C10/100)^('Your plan'!C6+51-'Your plan'!C6))*(1+'Your plan'!C12/100))))</f>
      </c>
    </row>
    <row r="59" spans="1:8" x14ac:dyDescent="0.25">
      <c r="A59" s="1"/>
      <c r="B59" s="26">
        <f>IF('Your plan'!C6+52&gt;'Your plan'!C8,"",'Your plan'!C6+52)</f>
      </c>
      <c r="C59" s="27">
        <f>IF('Your plan'!C6+52&gt;'Your plan'!C8,"",IF('Your plan'!C6+52&lt;'Your plan'!C7,"Working","Retired"))</f>
      </c>
      <c r="D59" s="12">
        <f>IF('Your plan'!C6+52&gt;'Your plan'!C8,"",IF('Your plan'!C6+52&lt;'Your plan'!C7,'Your plan'!C14*12,0))</f>
      </c>
      <c r="E59" s="12">
        <f>IF('Your plan'!C6+52&gt;'Your plan'!C8,"",IF('Your plan'!C6+52&lt;'Your plan'!C7,(N(G58))*((1+((1+'Your plan'!C11/100)^(1/12)-1))^12-1)+'Your plan'!C14*(((1+((1+'Your plan'!C11/100)^(1/12)-1))^12-1)/((1+'Your plan'!C11/100)^(1/12)-1))*(1+((1+'Your plan'!C11/100)^(1/12)-1))-'Your plan'!C14*12,MAX(0,(N(G58))-'Your plan'!C9*12*(1+'Your plan'!C10/100)^('Your plan'!C6+52-'Your plan'!C6))*'Your plan'!C12/100))</f>
      </c>
      <c r="F59" s="12">
        <f>IF('Your plan'!C6+52&gt;'Your plan'!C8,"",IF('Your plan'!C6+52&lt;'Your plan'!C7,0,'Your plan'!C9*12*(1+'Your plan'!C10/100)^('Your plan'!C6+52-'Your plan'!C6)))</f>
      </c>
      <c r="G59" s="22">
        <f>IF('Your plan'!C6+52&gt;'Your plan'!C8,"",IF('Your plan'!C6+52&lt;'Your plan'!C7,(N(G58))+D59+E59,MAX(0,(N(G58))-'Your plan'!C9*12*(1+'Your plan'!C10/100)^('Your plan'!C6+52-'Your plan'!C6))*(1+'Your plan'!C12/100)))</f>
      </c>
      <c r="H59" s="12">
        <f>IF('Your plan'!C6+52&gt;'Your plan'!C8,"",IF('Your plan'!C6+52&lt;'Your plan'!C7,0,IF('Your plan'!C6+52='Your plan'!C7,MAX(0,'Your plan'!C22-'Your plan'!C9*12*(1+'Your plan'!C10/100)^('Your plan'!C6+52-'Your plan'!C6))*(1+'Your plan'!C12/100),MAX(0,(N(H58))-'Your plan'!C9*12*(1+'Your plan'!C10/100)^('Your plan'!C6+52-'Your plan'!C6))*(1+'Your plan'!C12/100))))</f>
      </c>
    </row>
    <row r="60" spans="1:8" x14ac:dyDescent="0.25">
      <c r="A60" s="1"/>
      <c r="B60" s="26">
        <f>IF('Your plan'!C6+53&gt;'Your plan'!C8,"",'Your plan'!C6+53)</f>
      </c>
      <c r="C60" s="27">
        <f>IF('Your plan'!C6+53&gt;'Your plan'!C8,"",IF('Your plan'!C6+53&lt;'Your plan'!C7,"Working","Retired"))</f>
      </c>
      <c r="D60" s="12">
        <f>IF('Your plan'!C6+53&gt;'Your plan'!C8,"",IF('Your plan'!C6+53&lt;'Your plan'!C7,'Your plan'!C14*12,0))</f>
      </c>
      <c r="E60" s="12">
        <f>IF('Your plan'!C6+53&gt;'Your plan'!C8,"",IF('Your plan'!C6+53&lt;'Your plan'!C7,(N(G59))*((1+((1+'Your plan'!C11/100)^(1/12)-1))^12-1)+'Your plan'!C14*(((1+((1+'Your plan'!C11/100)^(1/12)-1))^12-1)/((1+'Your plan'!C11/100)^(1/12)-1))*(1+((1+'Your plan'!C11/100)^(1/12)-1))-'Your plan'!C14*12,MAX(0,(N(G59))-'Your plan'!C9*12*(1+'Your plan'!C10/100)^('Your plan'!C6+53-'Your plan'!C6))*'Your plan'!C12/100))</f>
      </c>
      <c r="F60" s="12">
        <f>IF('Your plan'!C6+53&gt;'Your plan'!C8,"",IF('Your plan'!C6+53&lt;'Your plan'!C7,0,'Your plan'!C9*12*(1+'Your plan'!C10/100)^('Your plan'!C6+53-'Your plan'!C6)))</f>
      </c>
      <c r="G60" s="22">
        <f>IF('Your plan'!C6+53&gt;'Your plan'!C8,"",IF('Your plan'!C6+53&lt;'Your plan'!C7,(N(G59))+D60+E60,MAX(0,(N(G59))-'Your plan'!C9*12*(1+'Your plan'!C10/100)^('Your plan'!C6+53-'Your plan'!C6))*(1+'Your plan'!C12/100)))</f>
      </c>
      <c r="H60" s="12">
        <f>IF('Your plan'!C6+53&gt;'Your plan'!C8,"",IF('Your plan'!C6+53&lt;'Your plan'!C7,0,IF('Your plan'!C6+53='Your plan'!C7,MAX(0,'Your plan'!C22-'Your plan'!C9*12*(1+'Your plan'!C10/100)^('Your plan'!C6+53-'Your plan'!C6))*(1+'Your plan'!C12/100),MAX(0,(N(H59))-'Your plan'!C9*12*(1+'Your plan'!C10/100)^('Your plan'!C6+53-'Your plan'!C6))*(1+'Your plan'!C12/100))))</f>
      </c>
    </row>
    <row r="61" spans="1:8" x14ac:dyDescent="0.25">
      <c r="A61" s="1"/>
      <c r="B61" s="26">
        <f>IF('Your plan'!C6+54&gt;'Your plan'!C8,"",'Your plan'!C6+54)</f>
      </c>
      <c r="C61" s="27">
        <f>IF('Your plan'!C6+54&gt;'Your plan'!C8,"",IF('Your plan'!C6+54&lt;'Your plan'!C7,"Working","Retired"))</f>
      </c>
      <c r="D61" s="12">
        <f>IF('Your plan'!C6+54&gt;'Your plan'!C8,"",IF('Your plan'!C6+54&lt;'Your plan'!C7,'Your plan'!C14*12,0))</f>
      </c>
      <c r="E61" s="12">
        <f>IF('Your plan'!C6+54&gt;'Your plan'!C8,"",IF('Your plan'!C6+54&lt;'Your plan'!C7,(N(G60))*((1+((1+'Your plan'!C11/100)^(1/12)-1))^12-1)+'Your plan'!C14*(((1+((1+'Your plan'!C11/100)^(1/12)-1))^12-1)/((1+'Your plan'!C11/100)^(1/12)-1))*(1+((1+'Your plan'!C11/100)^(1/12)-1))-'Your plan'!C14*12,MAX(0,(N(G60))-'Your plan'!C9*12*(1+'Your plan'!C10/100)^('Your plan'!C6+54-'Your plan'!C6))*'Your plan'!C12/100))</f>
      </c>
      <c r="F61" s="12">
        <f>IF('Your plan'!C6+54&gt;'Your plan'!C8,"",IF('Your plan'!C6+54&lt;'Your plan'!C7,0,'Your plan'!C9*12*(1+'Your plan'!C10/100)^('Your plan'!C6+54-'Your plan'!C6)))</f>
      </c>
      <c r="G61" s="22">
        <f>IF('Your plan'!C6+54&gt;'Your plan'!C8,"",IF('Your plan'!C6+54&lt;'Your plan'!C7,(N(G60))+D61+E61,MAX(0,(N(G60))-'Your plan'!C9*12*(1+'Your plan'!C10/100)^('Your plan'!C6+54-'Your plan'!C6))*(1+'Your plan'!C12/100)))</f>
      </c>
      <c r="H61" s="12">
        <f>IF('Your plan'!C6+54&gt;'Your plan'!C8,"",IF('Your plan'!C6+54&lt;'Your plan'!C7,0,IF('Your plan'!C6+54='Your plan'!C7,MAX(0,'Your plan'!C22-'Your plan'!C9*12*(1+'Your plan'!C10/100)^('Your plan'!C6+54-'Your plan'!C6))*(1+'Your plan'!C12/100),MAX(0,(N(H60))-'Your plan'!C9*12*(1+'Your plan'!C10/100)^('Your plan'!C6+54-'Your plan'!C6))*(1+'Your plan'!C12/100))))</f>
      </c>
    </row>
    <row r="62" spans="1:8" x14ac:dyDescent="0.25">
      <c r="A62" s="1"/>
      <c r="B62" s="26">
        <f>IF('Your plan'!C6+55&gt;'Your plan'!C8,"",'Your plan'!C6+55)</f>
      </c>
      <c r="C62" s="27">
        <f>IF('Your plan'!C6+55&gt;'Your plan'!C8,"",IF('Your plan'!C6+55&lt;'Your plan'!C7,"Working","Retired"))</f>
      </c>
      <c r="D62" s="12">
        <f>IF('Your plan'!C6+55&gt;'Your plan'!C8,"",IF('Your plan'!C6+55&lt;'Your plan'!C7,'Your plan'!C14*12,0))</f>
      </c>
      <c r="E62" s="12">
        <f>IF('Your plan'!C6+55&gt;'Your plan'!C8,"",IF('Your plan'!C6+55&lt;'Your plan'!C7,(N(G61))*((1+((1+'Your plan'!C11/100)^(1/12)-1))^12-1)+'Your plan'!C14*(((1+((1+'Your plan'!C11/100)^(1/12)-1))^12-1)/((1+'Your plan'!C11/100)^(1/12)-1))*(1+((1+'Your plan'!C11/100)^(1/12)-1))-'Your plan'!C14*12,MAX(0,(N(G61))-'Your plan'!C9*12*(1+'Your plan'!C10/100)^('Your plan'!C6+55-'Your plan'!C6))*'Your plan'!C12/100))</f>
      </c>
      <c r="F62" s="12">
        <f>IF('Your plan'!C6+55&gt;'Your plan'!C8,"",IF('Your plan'!C6+55&lt;'Your plan'!C7,0,'Your plan'!C9*12*(1+'Your plan'!C10/100)^('Your plan'!C6+55-'Your plan'!C6)))</f>
      </c>
      <c r="G62" s="22">
        <f>IF('Your plan'!C6+55&gt;'Your plan'!C8,"",IF('Your plan'!C6+55&lt;'Your plan'!C7,(N(G61))+D62+E62,MAX(0,(N(G61))-'Your plan'!C9*12*(1+'Your plan'!C10/100)^('Your plan'!C6+55-'Your plan'!C6))*(1+'Your plan'!C12/100)))</f>
      </c>
      <c r="H62" s="12">
        <f>IF('Your plan'!C6+55&gt;'Your plan'!C8,"",IF('Your plan'!C6+55&lt;'Your plan'!C7,0,IF('Your plan'!C6+55='Your plan'!C7,MAX(0,'Your plan'!C22-'Your plan'!C9*12*(1+'Your plan'!C10/100)^('Your plan'!C6+55-'Your plan'!C6))*(1+'Your plan'!C12/100),MAX(0,(N(H61))-'Your plan'!C9*12*(1+'Your plan'!C10/100)^('Your plan'!C6+55-'Your plan'!C6))*(1+'Your plan'!C12/100))))</f>
      </c>
    </row>
    <row r="63" spans="1:8" x14ac:dyDescent="0.25">
      <c r="A63" s="1"/>
      <c r="B63" s="26">
        <f>IF('Your plan'!C6+56&gt;'Your plan'!C8,"",'Your plan'!C6+56)</f>
      </c>
      <c r="C63" s="27">
        <f>IF('Your plan'!C6+56&gt;'Your plan'!C8,"",IF('Your plan'!C6+56&lt;'Your plan'!C7,"Working","Retired"))</f>
      </c>
      <c r="D63" s="12">
        <f>IF('Your plan'!C6+56&gt;'Your plan'!C8,"",IF('Your plan'!C6+56&lt;'Your plan'!C7,'Your plan'!C14*12,0))</f>
      </c>
      <c r="E63" s="12">
        <f>IF('Your plan'!C6+56&gt;'Your plan'!C8,"",IF('Your plan'!C6+56&lt;'Your plan'!C7,(N(G62))*((1+((1+'Your plan'!C11/100)^(1/12)-1))^12-1)+'Your plan'!C14*(((1+((1+'Your plan'!C11/100)^(1/12)-1))^12-1)/((1+'Your plan'!C11/100)^(1/12)-1))*(1+((1+'Your plan'!C11/100)^(1/12)-1))-'Your plan'!C14*12,MAX(0,(N(G62))-'Your plan'!C9*12*(1+'Your plan'!C10/100)^('Your plan'!C6+56-'Your plan'!C6))*'Your plan'!C12/100))</f>
      </c>
      <c r="F63" s="12">
        <f>IF('Your plan'!C6+56&gt;'Your plan'!C8,"",IF('Your plan'!C6+56&lt;'Your plan'!C7,0,'Your plan'!C9*12*(1+'Your plan'!C10/100)^('Your plan'!C6+56-'Your plan'!C6)))</f>
      </c>
      <c r="G63" s="22">
        <f>IF('Your plan'!C6+56&gt;'Your plan'!C8,"",IF('Your plan'!C6+56&lt;'Your plan'!C7,(N(G62))+D63+E63,MAX(0,(N(G62))-'Your plan'!C9*12*(1+'Your plan'!C10/100)^('Your plan'!C6+56-'Your plan'!C6))*(1+'Your plan'!C12/100)))</f>
      </c>
      <c r="H63" s="12">
        <f>IF('Your plan'!C6+56&gt;'Your plan'!C8,"",IF('Your plan'!C6+56&lt;'Your plan'!C7,0,IF('Your plan'!C6+56='Your plan'!C7,MAX(0,'Your plan'!C22-'Your plan'!C9*12*(1+'Your plan'!C10/100)^('Your plan'!C6+56-'Your plan'!C6))*(1+'Your plan'!C12/100),MAX(0,(N(H62))-'Your plan'!C9*12*(1+'Your plan'!C10/100)^('Your plan'!C6+56-'Your plan'!C6))*(1+'Your plan'!C12/100))))</f>
      </c>
    </row>
    <row r="64" spans="1:8" x14ac:dyDescent="0.25">
      <c r="A64" s="1"/>
      <c r="B64" s="26">
        <f>IF('Your plan'!C6+57&gt;'Your plan'!C8,"",'Your plan'!C6+57)</f>
      </c>
      <c r="C64" s="27">
        <f>IF('Your plan'!C6+57&gt;'Your plan'!C8,"",IF('Your plan'!C6+57&lt;'Your plan'!C7,"Working","Retired"))</f>
      </c>
      <c r="D64" s="12">
        <f>IF('Your plan'!C6+57&gt;'Your plan'!C8,"",IF('Your plan'!C6+57&lt;'Your plan'!C7,'Your plan'!C14*12,0))</f>
      </c>
      <c r="E64" s="12">
        <f>IF('Your plan'!C6+57&gt;'Your plan'!C8,"",IF('Your plan'!C6+57&lt;'Your plan'!C7,(N(G63))*((1+((1+'Your plan'!C11/100)^(1/12)-1))^12-1)+'Your plan'!C14*(((1+((1+'Your plan'!C11/100)^(1/12)-1))^12-1)/((1+'Your plan'!C11/100)^(1/12)-1))*(1+((1+'Your plan'!C11/100)^(1/12)-1))-'Your plan'!C14*12,MAX(0,(N(G63))-'Your plan'!C9*12*(1+'Your plan'!C10/100)^('Your plan'!C6+57-'Your plan'!C6))*'Your plan'!C12/100))</f>
      </c>
      <c r="F64" s="12">
        <f>IF('Your plan'!C6+57&gt;'Your plan'!C8,"",IF('Your plan'!C6+57&lt;'Your plan'!C7,0,'Your plan'!C9*12*(1+'Your plan'!C10/100)^('Your plan'!C6+57-'Your plan'!C6)))</f>
      </c>
      <c r="G64" s="22">
        <f>IF('Your plan'!C6+57&gt;'Your plan'!C8,"",IF('Your plan'!C6+57&lt;'Your plan'!C7,(N(G63))+D64+E64,MAX(0,(N(G63))-'Your plan'!C9*12*(1+'Your plan'!C10/100)^('Your plan'!C6+57-'Your plan'!C6))*(1+'Your plan'!C12/100)))</f>
      </c>
      <c r="H64" s="12">
        <f>IF('Your plan'!C6+57&gt;'Your plan'!C8,"",IF('Your plan'!C6+57&lt;'Your plan'!C7,0,IF('Your plan'!C6+57='Your plan'!C7,MAX(0,'Your plan'!C22-'Your plan'!C9*12*(1+'Your plan'!C10/100)^('Your plan'!C6+57-'Your plan'!C6))*(1+'Your plan'!C12/100),MAX(0,(N(H63))-'Your plan'!C9*12*(1+'Your plan'!C10/100)^('Your plan'!C6+57-'Your plan'!C6))*(1+'Your plan'!C12/100))))</f>
      </c>
    </row>
    <row r="65" spans="1:8" x14ac:dyDescent="0.25">
      <c r="A65" s="1"/>
      <c r="B65" s="26">
        <f>IF('Your plan'!C6+58&gt;'Your plan'!C8,"",'Your plan'!C6+58)</f>
      </c>
      <c r="C65" s="27">
        <f>IF('Your plan'!C6+58&gt;'Your plan'!C8,"",IF('Your plan'!C6+58&lt;'Your plan'!C7,"Working","Retired"))</f>
      </c>
      <c r="D65" s="12">
        <f>IF('Your plan'!C6+58&gt;'Your plan'!C8,"",IF('Your plan'!C6+58&lt;'Your plan'!C7,'Your plan'!C14*12,0))</f>
      </c>
      <c r="E65" s="12">
        <f>IF('Your plan'!C6+58&gt;'Your plan'!C8,"",IF('Your plan'!C6+58&lt;'Your plan'!C7,(N(G64))*((1+((1+'Your plan'!C11/100)^(1/12)-1))^12-1)+'Your plan'!C14*(((1+((1+'Your plan'!C11/100)^(1/12)-1))^12-1)/((1+'Your plan'!C11/100)^(1/12)-1))*(1+((1+'Your plan'!C11/100)^(1/12)-1))-'Your plan'!C14*12,MAX(0,(N(G64))-'Your plan'!C9*12*(1+'Your plan'!C10/100)^('Your plan'!C6+58-'Your plan'!C6))*'Your plan'!C12/100))</f>
      </c>
      <c r="F65" s="12">
        <f>IF('Your plan'!C6+58&gt;'Your plan'!C8,"",IF('Your plan'!C6+58&lt;'Your plan'!C7,0,'Your plan'!C9*12*(1+'Your plan'!C10/100)^('Your plan'!C6+58-'Your plan'!C6)))</f>
      </c>
      <c r="G65" s="22">
        <f>IF('Your plan'!C6+58&gt;'Your plan'!C8,"",IF('Your plan'!C6+58&lt;'Your plan'!C7,(N(G64))+D65+E65,MAX(0,(N(G64))-'Your plan'!C9*12*(1+'Your plan'!C10/100)^('Your plan'!C6+58-'Your plan'!C6))*(1+'Your plan'!C12/100)))</f>
      </c>
      <c r="H65" s="12">
        <f>IF('Your plan'!C6+58&gt;'Your plan'!C8,"",IF('Your plan'!C6+58&lt;'Your plan'!C7,0,IF('Your plan'!C6+58='Your plan'!C7,MAX(0,'Your plan'!C22-'Your plan'!C9*12*(1+'Your plan'!C10/100)^('Your plan'!C6+58-'Your plan'!C6))*(1+'Your plan'!C12/100),MAX(0,(N(H64))-'Your plan'!C9*12*(1+'Your plan'!C10/100)^('Your plan'!C6+58-'Your plan'!C6))*(1+'Your plan'!C12/100))))</f>
      </c>
    </row>
    <row r="66" spans="1:8" x14ac:dyDescent="0.25">
      <c r="A66" s="1"/>
      <c r="B66" s="26">
        <f>IF('Your plan'!C6+59&gt;'Your plan'!C8,"",'Your plan'!C6+59)</f>
      </c>
      <c r="C66" s="27">
        <f>IF('Your plan'!C6+59&gt;'Your plan'!C8,"",IF('Your plan'!C6+59&lt;'Your plan'!C7,"Working","Retired"))</f>
      </c>
      <c r="D66" s="12">
        <f>IF('Your plan'!C6+59&gt;'Your plan'!C8,"",IF('Your plan'!C6+59&lt;'Your plan'!C7,'Your plan'!C14*12,0))</f>
      </c>
      <c r="E66" s="12">
        <f>IF('Your plan'!C6+59&gt;'Your plan'!C8,"",IF('Your plan'!C6+59&lt;'Your plan'!C7,(N(G65))*((1+((1+'Your plan'!C11/100)^(1/12)-1))^12-1)+'Your plan'!C14*(((1+((1+'Your plan'!C11/100)^(1/12)-1))^12-1)/((1+'Your plan'!C11/100)^(1/12)-1))*(1+((1+'Your plan'!C11/100)^(1/12)-1))-'Your plan'!C14*12,MAX(0,(N(G65))-'Your plan'!C9*12*(1+'Your plan'!C10/100)^('Your plan'!C6+59-'Your plan'!C6))*'Your plan'!C12/100))</f>
      </c>
      <c r="F66" s="12">
        <f>IF('Your plan'!C6+59&gt;'Your plan'!C8,"",IF('Your plan'!C6+59&lt;'Your plan'!C7,0,'Your plan'!C9*12*(1+'Your plan'!C10/100)^('Your plan'!C6+59-'Your plan'!C6)))</f>
      </c>
      <c r="G66" s="22">
        <f>IF('Your plan'!C6+59&gt;'Your plan'!C8,"",IF('Your plan'!C6+59&lt;'Your plan'!C7,(N(G65))+D66+E66,MAX(0,(N(G65))-'Your plan'!C9*12*(1+'Your plan'!C10/100)^('Your plan'!C6+59-'Your plan'!C6))*(1+'Your plan'!C12/100)))</f>
      </c>
      <c r="H66" s="12">
        <f>IF('Your plan'!C6+59&gt;'Your plan'!C8,"",IF('Your plan'!C6+59&lt;'Your plan'!C7,0,IF('Your plan'!C6+59='Your plan'!C7,MAX(0,'Your plan'!C22-'Your plan'!C9*12*(1+'Your plan'!C10/100)^('Your plan'!C6+59-'Your plan'!C6))*(1+'Your plan'!C12/100),MAX(0,(N(H65))-'Your plan'!C9*12*(1+'Your plan'!C10/100)^('Your plan'!C6+59-'Your plan'!C6))*(1+'Your plan'!C12/100))))</f>
      </c>
    </row>
    <row r="67" spans="1:8" x14ac:dyDescent="0.25">
      <c r="A67" s="1"/>
      <c r="B67" s="26">
        <f>IF('Your plan'!C6+60&gt;'Your plan'!C8,"",'Your plan'!C6+60)</f>
      </c>
      <c r="C67" s="27">
        <f>IF('Your plan'!C6+60&gt;'Your plan'!C8,"",IF('Your plan'!C6+60&lt;'Your plan'!C7,"Working","Retired"))</f>
      </c>
      <c r="D67" s="12">
        <f>IF('Your plan'!C6+60&gt;'Your plan'!C8,"",IF('Your plan'!C6+60&lt;'Your plan'!C7,'Your plan'!C14*12,0))</f>
      </c>
      <c r="E67" s="12">
        <f>IF('Your plan'!C6+60&gt;'Your plan'!C8,"",IF('Your plan'!C6+60&lt;'Your plan'!C7,(N(G66))*((1+((1+'Your plan'!C11/100)^(1/12)-1))^12-1)+'Your plan'!C14*(((1+((1+'Your plan'!C11/100)^(1/12)-1))^12-1)/((1+'Your plan'!C11/100)^(1/12)-1))*(1+((1+'Your plan'!C11/100)^(1/12)-1))-'Your plan'!C14*12,MAX(0,(N(G66))-'Your plan'!C9*12*(1+'Your plan'!C10/100)^('Your plan'!C6+60-'Your plan'!C6))*'Your plan'!C12/100))</f>
      </c>
      <c r="F67" s="12">
        <f>IF('Your plan'!C6+60&gt;'Your plan'!C8,"",IF('Your plan'!C6+60&lt;'Your plan'!C7,0,'Your plan'!C9*12*(1+'Your plan'!C10/100)^('Your plan'!C6+60-'Your plan'!C6)))</f>
      </c>
      <c r="G67" s="22">
        <f>IF('Your plan'!C6+60&gt;'Your plan'!C8,"",IF('Your plan'!C6+60&lt;'Your plan'!C7,(N(G66))+D67+E67,MAX(0,(N(G66))-'Your plan'!C9*12*(1+'Your plan'!C10/100)^('Your plan'!C6+60-'Your plan'!C6))*(1+'Your plan'!C12/100)))</f>
      </c>
      <c r="H67" s="12">
        <f>IF('Your plan'!C6+60&gt;'Your plan'!C8,"",IF('Your plan'!C6+60&lt;'Your plan'!C7,0,IF('Your plan'!C6+60='Your plan'!C7,MAX(0,'Your plan'!C22-'Your plan'!C9*12*(1+'Your plan'!C10/100)^('Your plan'!C6+60-'Your plan'!C6))*(1+'Your plan'!C12/100),MAX(0,(N(H66))-'Your plan'!C9*12*(1+'Your plan'!C10/100)^('Your plan'!C6+60-'Your plan'!C6))*(1+'Your plan'!C12/100))))</f>
      </c>
    </row>
    <row r="68" spans="1:8" x14ac:dyDescent="0.25">
      <c r="A68" s="1"/>
      <c r="B68" s="26">
        <f>IF('Your plan'!C6+61&gt;'Your plan'!C8,"",'Your plan'!C6+61)</f>
      </c>
      <c r="C68" s="27">
        <f>IF('Your plan'!C6+61&gt;'Your plan'!C8,"",IF('Your plan'!C6+61&lt;'Your plan'!C7,"Working","Retired"))</f>
      </c>
      <c r="D68" s="12">
        <f>IF('Your plan'!C6+61&gt;'Your plan'!C8,"",IF('Your plan'!C6+61&lt;'Your plan'!C7,'Your plan'!C14*12,0))</f>
      </c>
      <c r="E68" s="12">
        <f>IF('Your plan'!C6+61&gt;'Your plan'!C8,"",IF('Your plan'!C6+61&lt;'Your plan'!C7,(N(G67))*((1+((1+'Your plan'!C11/100)^(1/12)-1))^12-1)+'Your plan'!C14*(((1+((1+'Your plan'!C11/100)^(1/12)-1))^12-1)/((1+'Your plan'!C11/100)^(1/12)-1))*(1+((1+'Your plan'!C11/100)^(1/12)-1))-'Your plan'!C14*12,MAX(0,(N(G67))-'Your plan'!C9*12*(1+'Your plan'!C10/100)^('Your plan'!C6+61-'Your plan'!C6))*'Your plan'!C12/100))</f>
      </c>
      <c r="F68" s="12">
        <f>IF('Your plan'!C6+61&gt;'Your plan'!C8,"",IF('Your plan'!C6+61&lt;'Your plan'!C7,0,'Your plan'!C9*12*(1+'Your plan'!C10/100)^('Your plan'!C6+61-'Your plan'!C6)))</f>
      </c>
      <c r="G68" s="22">
        <f>IF('Your plan'!C6+61&gt;'Your plan'!C8,"",IF('Your plan'!C6+61&lt;'Your plan'!C7,(N(G67))+D68+E68,MAX(0,(N(G67))-'Your plan'!C9*12*(1+'Your plan'!C10/100)^('Your plan'!C6+61-'Your plan'!C6))*(1+'Your plan'!C12/100)))</f>
      </c>
      <c r="H68" s="12">
        <f>IF('Your plan'!C6+61&gt;'Your plan'!C8,"",IF('Your plan'!C6+61&lt;'Your plan'!C7,0,IF('Your plan'!C6+61='Your plan'!C7,MAX(0,'Your plan'!C22-'Your plan'!C9*12*(1+'Your plan'!C10/100)^('Your plan'!C6+61-'Your plan'!C6))*(1+'Your plan'!C12/100),MAX(0,(N(H67))-'Your plan'!C9*12*(1+'Your plan'!C10/100)^('Your plan'!C6+61-'Your plan'!C6))*(1+'Your plan'!C12/100))))</f>
      </c>
    </row>
    <row r="69" spans="1:8" x14ac:dyDescent="0.25">
      <c r="A69" s="1"/>
      <c r="B69" s="26">
        <f>IF('Your plan'!C6+62&gt;'Your plan'!C8,"",'Your plan'!C6+62)</f>
      </c>
      <c r="C69" s="27">
        <f>IF('Your plan'!C6+62&gt;'Your plan'!C8,"",IF('Your plan'!C6+62&lt;'Your plan'!C7,"Working","Retired"))</f>
      </c>
      <c r="D69" s="12">
        <f>IF('Your plan'!C6+62&gt;'Your plan'!C8,"",IF('Your plan'!C6+62&lt;'Your plan'!C7,'Your plan'!C14*12,0))</f>
      </c>
      <c r="E69" s="12">
        <f>IF('Your plan'!C6+62&gt;'Your plan'!C8,"",IF('Your plan'!C6+62&lt;'Your plan'!C7,(N(G68))*((1+((1+'Your plan'!C11/100)^(1/12)-1))^12-1)+'Your plan'!C14*(((1+((1+'Your plan'!C11/100)^(1/12)-1))^12-1)/((1+'Your plan'!C11/100)^(1/12)-1))*(1+((1+'Your plan'!C11/100)^(1/12)-1))-'Your plan'!C14*12,MAX(0,(N(G68))-'Your plan'!C9*12*(1+'Your plan'!C10/100)^('Your plan'!C6+62-'Your plan'!C6))*'Your plan'!C12/100))</f>
      </c>
      <c r="F69" s="12">
        <f>IF('Your plan'!C6+62&gt;'Your plan'!C8,"",IF('Your plan'!C6+62&lt;'Your plan'!C7,0,'Your plan'!C9*12*(1+'Your plan'!C10/100)^('Your plan'!C6+62-'Your plan'!C6)))</f>
      </c>
      <c r="G69" s="22">
        <f>IF('Your plan'!C6+62&gt;'Your plan'!C8,"",IF('Your plan'!C6+62&lt;'Your plan'!C7,(N(G68))+D69+E69,MAX(0,(N(G68))-'Your plan'!C9*12*(1+'Your plan'!C10/100)^('Your plan'!C6+62-'Your plan'!C6))*(1+'Your plan'!C12/100)))</f>
      </c>
      <c r="H69" s="12">
        <f>IF('Your plan'!C6+62&gt;'Your plan'!C8,"",IF('Your plan'!C6+62&lt;'Your plan'!C7,0,IF('Your plan'!C6+62='Your plan'!C7,MAX(0,'Your plan'!C22-'Your plan'!C9*12*(1+'Your plan'!C10/100)^('Your plan'!C6+62-'Your plan'!C6))*(1+'Your plan'!C12/100),MAX(0,(N(H68))-'Your plan'!C9*12*(1+'Your plan'!C10/100)^('Your plan'!C6+62-'Your plan'!C6))*(1+'Your plan'!C12/100))))</f>
      </c>
    </row>
    <row r="70" spans="1:8" x14ac:dyDescent="0.25">
      <c r="A70" s="1"/>
      <c r="B70" s="26">
        <f>IF('Your plan'!C6+63&gt;'Your plan'!C8,"",'Your plan'!C6+63)</f>
      </c>
      <c r="C70" s="27">
        <f>IF('Your plan'!C6+63&gt;'Your plan'!C8,"",IF('Your plan'!C6+63&lt;'Your plan'!C7,"Working","Retired"))</f>
      </c>
      <c r="D70" s="12">
        <f>IF('Your plan'!C6+63&gt;'Your plan'!C8,"",IF('Your plan'!C6+63&lt;'Your plan'!C7,'Your plan'!C14*12,0))</f>
      </c>
      <c r="E70" s="12">
        <f>IF('Your plan'!C6+63&gt;'Your plan'!C8,"",IF('Your plan'!C6+63&lt;'Your plan'!C7,(N(G69))*((1+((1+'Your plan'!C11/100)^(1/12)-1))^12-1)+'Your plan'!C14*(((1+((1+'Your plan'!C11/100)^(1/12)-1))^12-1)/((1+'Your plan'!C11/100)^(1/12)-1))*(1+((1+'Your plan'!C11/100)^(1/12)-1))-'Your plan'!C14*12,MAX(0,(N(G69))-'Your plan'!C9*12*(1+'Your plan'!C10/100)^('Your plan'!C6+63-'Your plan'!C6))*'Your plan'!C12/100))</f>
      </c>
      <c r="F70" s="12">
        <f>IF('Your plan'!C6+63&gt;'Your plan'!C8,"",IF('Your plan'!C6+63&lt;'Your plan'!C7,0,'Your plan'!C9*12*(1+'Your plan'!C10/100)^('Your plan'!C6+63-'Your plan'!C6)))</f>
      </c>
      <c r="G70" s="22">
        <f>IF('Your plan'!C6+63&gt;'Your plan'!C8,"",IF('Your plan'!C6+63&lt;'Your plan'!C7,(N(G69))+D70+E70,MAX(0,(N(G69))-'Your plan'!C9*12*(1+'Your plan'!C10/100)^('Your plan'!C6+63-'Your plan'!C6))*(1+'Your plan'!C12/100)))</f>
      </c>
      <c r="H70" s="12">
        <f>IF('Your plan'!C6+63&gt;'Your plan'!C8,"",IF('Your plan'!C6+63&lt;'Your plan'!C7,0,IF('Your plan'!C6+63='Your plan'!C7,MAX(0,'Your plan'!C22-'Your plan'!C9*12*(1+'Your plan'!C10/100)^('Your plan'!C6+63-'Your plan'!C6))*(1+'Your plan'!C12/100),MAX(0,(N(H69))-'Your plan'!C9*12*(1+'Your plan'!C10/100)^('Your plan'!C6+63-'Your plan'!C6))*(1+'Your plan'!C12/100))))</f>
      </c>
    </row>
    <row r="71" spans="1:8" x14ac:dyDescent="0.25">
      <c r="A71" s="1"/>
      <c r="B71" s="26">
        <f>IF('Your plan'!C6+64&gt;'Your plan'!C8,"",'Your plan'!C6+64)</f>
      </c>
      <c r="C71" s="27">
        <f>IF('Your plan'!C6+64&gt;'Your plan'!C8,"",IF('Your plan'!C6+64&lt;'Your plan'!C7,"Working","Retired"))</f>
      </c>
      <c r="D71" s="12">
        <f>IF('Your plan'!C6+64&gt;'Your plan'!C8,"",IF('Your plan'!C6+64&lt;'Your plan'!C7,'Your plan'!C14*12,0))</f>
      </c>
      <c r="E71" s="12">
        <f>IF('Your plan'!C6+64&gt;'Your plan'!C8,"",IF('Your plan'!C6+64&lt;'Your plan'!C7,(N(G70))*((1+((1+'Your plan'!C11/100)^(1/12)-1))^12-1)+'Your plan'!C14*(((1+((1+'Your plan'!C11/100)^(1/12)-1))^12-1)/((1+'Your plan'!C11/100)^(1/12)-1))*(1+((1+'Your plan'!C11/100)^(1/12)-1))-'Your plan'!C14*12,MAX(0,(N(G70))-'Your plan'!C9*12*(1+'Your plan'!C10/100)^('Your plan'!C6+64-'Your plan'!C6))*'Your plan'!C12/100))</f>
      </c>
      <c r="F71" s="12">
        <f>IF('Your plan'!C6+64&gt;'Your plan'!C8,"",IF('Your plan'!C6+64&lt;'Your plan'!C7,0,'Your plan'!C9*12*(1+'Your plan'!C10/100)^('Your plan'!C6+64-'Your plan'!C6)))</f>
      </c>
      <c r="G71" s="22">
        <f>IF('Your plan'!C6+64&gt;'Your plan'!C8,"",IF('Your plan'!C6+64&lt;'Your plan'!C7,(N(G70))+D71+E71,MAX(0,(N(G70))-'Your plan'!C9*12*(1+'Your plan'!C10/100)^('Your plan'!C6+64-'Your plan'!C6))*(1+'Your plan'!C12/100)))</f>
      </c>
      <c r="H71" s="12">
        <f>IF('Your plan'!C6+64&gt;'Your plan'!C8,"",IF('Your plan'!C6+64&lt;'Your plan'!C7,0,IF('Your plan'!C6+64='Your plan'!C7,MAX(0,'Your plan'!C22-'Your plan'!C9*12*(1+'Your plan'!C10/100)^('Your plan'!C6+64-'Your plan'!C6))*(1+'Your plan'!C12/100),MAX(0,(N(H70))-'Your plan'!C9*12*(1+'Your plan'!C10/100)^('Your plan'!C6+64-'Your plan'!C6))*(1+'Your plan'!C12/100))))</f>
      </c>
    </row>
    <row r="72" spans="1:8" x14ac:dyDescent="0.25">
      <c r="A72" s="1"/>
      <c r="B72" s="26">
        <f>IF('Your plan'!C6+65&gt;'Your plan'!C8,"",'Your plan'!C6+65)</f>
      </c>
      <c r="C72" s="27">
        <f>IF('Your plan'!C6+65&gt;'Your plan'!C8,"",IF('Your plan'!C6+65&lt;'Your plan'!C7,"Working","Retired"))</f>
      </c>
      <c r="D72" s="12">
        <f>IF('Your plan'!C6+65&gt;'Your plan'!C8,"",IF('Your plan'!C6+65&lt;'Your plan'!C7,'Your plan'!C14*12,0))</f>
      </c>
      <c r="E72" s="12">
        <f>IF('Your plan'!C6+65&gt;'Your plan'!C8,"",IF('Your plan'!C6+65&lt;'Your plan'!C7,(N(G71))*((1+((1+'Your plan'!C11/100)^(1/12)-1))^12-1)+'Your plan'!C14*(((1+((1+'Your plan'!C11/100)^(1/12)-1))^12-1)/((1+'Your plan'!C11/100)^(1/12)-1))*(1+((1+'Your plan'!C11/100)^(1/12)-1))-'Your plan'!C14*12,MAX(0,(N(G71))-'Your plan'!C9*12*(1+'Your plan'!C10/100)^('Your plan'!C6+65-'Your plan'!C6))*'Your plan'!C12/100))</f>
      </c>
      <c r="F72" s="12">
        <f>IF('Your plan'!C6+65&gt;'Your plan'!C8,"",IF('Your plan'!C6+65&lt;'Your plan'!C7,0,'Your plan'!C9*12*(1+'Your plan'!C10/100)^('Your plan'!C6+65-'Your plan'!C6)))</f>
      </c>
      <c r="G72" s="22">
        <f>IF('Your plan'!C6+65&gt;'Your plan'!C8,"",IF('Your plan'!C6+65&lt;'Your plan'!C7,(N(G71))+D72+E72,MAX(0,(N(G71))-'Your plan'!C9*12*(1+'Your plan'!C10/100)^('Your plan'!C6+65-'Your plan'!C6))*(1+'Your plan'!C12/100)))</f>
      </c>
      <c r="H72" s="12">
        <f>IF('Your plan'!C6+65&gt;'Your plan'!C8,"",IF('Your plan'!C6+65&lt;'Your plan'!C7,0,IF('Your plan'!C6+65='Your plan'!C7,MAX(0,'Your plan'!C22-'Your plan'!C9*12*(1+'Your plan'!C10/100)^('Your plan'!C6+65-'Your plan'!C6))*(1+'Your plan'!C12/100),MAX(0,(N(H71))-'Your plan'!C9*12*(1+'Your plan'!C10/100)^('Your plan'!C6+65-'Your plan'!C6))*(1+'Your plan'!C12/100))))</f>
      </c>
    </row>
    <row r="73" spans="1:8" x14ac:dyDescent="0.25">
      <c r="A73" s="1"/>
      <c r="B73" s="26">
        <f>IF('Your plan'!C6+66&gt;'Your plan'!C8,"",'Your plan'!C6+66)</f>
      </c>
      <c r="C73" s="27">
        <f>IF('Your plan'!C6+66&gt;'Your plan'!C8,"",IF('Your plan'!C6+66&lt;'Your plan'!C7,"Working","Retired"))</f>
      </c>
      <c r="D73" s="12">
        <f>IF('Your plan'!C6+66&gt;'Your plan'!C8,"",IF('Your plan'!C6+66&lt;'Your plan'!C7,'Your plan'!C14*12,0))</f>
      </c>
      <c r="E73" s="12">
        <f>IF('Your plan'!C6+66&gt;'Your plan'!C8,"",IF('Your plan'!C6+66&lt;'Your plan'!C7,(N(G72))*((1+((1+'Your plan'!C11/100)^(1/12)-1))^12-1)+'Your plan'!C14*(((1+((1+'Your plan'!C11/100)^(1/12)-1))^12-1)/((1+'Your plan'!C11/100)^(1/12)-1))*(1+((1+'Your plan'!C11/100)^(1/12)-1))-'Your plan'!C14*12,MAX(0,(N(G72))-'Your plan'!C9*12*(1+'Your plan'!C10/100)^('Your plan'!C6+66-'Your plan'!C6))*'Your plan'!C12/100))</f>
      </c>
      <c r="F73" s="12">
        <f>IF('Your plan'!C6+66&gt;'Your plan'!C8,"",IF('Your plan'!C6+66&lt;'Your plan'!C7,0,'Your plan'!C9*12*(1+'Your plan'!C10/100)^('Your plan'!C6+66-'Your plan'!C6)))</f>
      </c>
      <c r="G73" s="22">
        <f>IF('Your plan'!C6+66&gt;'Your plan'!C8,"",IF('Your plan'!C6+66&lt;'Your plan'!C7,(N(G72))+D73+E73,MAX(0,(N(G72))-'Your plan'!C9*12*(1+'Your plan'!C10/100)^('Your plan'!C6+66-'Your plan'!C6))*(1+'Your plan'!C12/100)))</f>
      </c>
      <c r="H73" s="12">
        <f>IF('Your plan'!C6+66&gt;'Your plan'!C8,"",IF('Your plan'!C6+66&lt;'Your plan'!C7,0,IF('Your plan'!C6+66='Your plan'!C7,MAX(0,'Your plan'!C22-'Your plan'!C9*12*(1+'Your plan'!C10/100)^('Your plan'!C6+66-'Your plan'!C6))*(1+'Your plan'!C12/100),MAX(0,(N(H72))-'Your plan'!C9*12*(1+'Your plan'!C10/100)^('Your plan'!C6+66-'Your plan'!C6))*(1+'Your plan'!C12/100))))</f>
      </c>
    </row>
    <row r="74" spans="1:8" x14ac:dyDescent="0.25">
      <c r="A74" s="1"/>
      <c r="B74" s="26">
        <f>IF('Your plan'!C6+67&gt;'Your plan'!C8,"",'Your plan'!C6+67)</f>
      </c>
      <c r="C74" s="27">
        <f>IF('Your plan'!C6+67&gt;'Your plan'!C8,"",IF('Your plan'!C6+67&lt;'Your plan'!C7,"Working","Retired"))</f>
      </c>
      <c r="D74" s="12">
        <f>IF('Your plan'!C6+67&gt;'Your plan'!C8,"",IF('Your plan'!C6+67&lt;'Your plan'!C7,'Your plan'!C14*12,0))</f>
      </c>
      <c r="E74" s="12">
        <f>IF('Your plan'!C6+67&gt;'Your plan'!C8,"",IF('Your plan'!C6+67&lt;'Your plan'!C7,(N(G73))*((1+((1+'Your plan'!C11/100)^(1/12)-1))^12-1)+'Your plan'!C14*(((1+((1+'Your plan'!C11/100)^(1/12)-1))^12-1)/((1+'Your plan'!C11/100)^(1/12)-1))*(1+((1+'Your plan'!C11/100)^(1/12)-1))-'Your plan'!C14*12,MAX(0,(N(G73))-'Your plan'!C9*12*(1+'Your plan'!C10/100)^('Your plan'!C6+67-'Your plan'!C6))*'Your plan'!C12/100))</f>
      </c>
      <c r="F74" s="12">
        <f>IF('Your plan'!C6+67&gt;'Your plan'!C8,"",IF('Your plan'!C6+67&lt;'Your plan'!C7,0,'Your plan'!C9*12*(1+'Your plan'!C10/100)^('Your plan'!C6+67-'Your plan'!C6)))</f>
      </c>
      <c r="G74" s="22">
        <f>IF('Your plan'!C6+67&gt;'Your plan'!C8,"",IF('Your plan'!C6+67&lt;'Your plan'!C7,(N(G73))+D74+E74,MAX(0,(N(G73))-'Your plan'!C9*12*(1+'Your plan'!C10/100)^('Your plan'!C6+67-'Your plan'!C6))*(1+'Your plan'!C12/100)))</f>
      </c>
      <c r="H74" s="12">
        <f>IF('Your plan'!C6+67&gt;'Your plan'!C8,"",IF('Your plan'!C6+67&lt;'Your plan'!C7,0,IF('Your plan'!C6+67='Your plan'!C7,MAX(0,'Your plan'!C22-'Your plan'!C9*12*(1+'Your plan'!C10/100)^('Your plan'!C6+67-'Your plan'!C6))*(1+'Your plan'!C12/100),MAX(0,(N(H73))-'Your plan'!C9*12*(1+'Your plan'!C10/100)^('Your plan'!C6+67-'Your plan'!C6))*(1+'Your plan'!C12/100))))</f>
      </c>
    </row>
    <row r="75" spans="1:8" x14ac:dyDescent="0.25">
      <c r="A75" s="1"/>
      <c r="B75" s="26">
        <f>IF('Your plan'!C6+68&gt;'Your plan'!C8,"",'Your plan'!C6+68)</f>
      </c>
      <c r="C75" s="27">
        <f>IF('Your plan'!C6+68&gt;'Your plan'!C8,"",IF('Your plan'!C6+68&lt;'Your plan'!C7,"Working","Retired"))</f>
      </c>
      <c r="D75" s="12">
        <f>IF('Your plan'!C6+68&gt;'Your plan'!C8,"",IF('Your plan'!C6+68&lt;'Your plan'!C7,'Your plan'!C14*12,0))</f>
      </c>
      <c r="E75" s="12">
        <f>IF('Your plan'!C6+68&gt;'Your plan'!C8,"",IF('Your plan'!C6+68&lt;'Your plan'!C7,(N(G74))*((1+((1+'Your plan'!C11/100)^(1/12)-1))^12-1)+'Your plan'!C14*(((1+((1+'Your plan'!C11/100)^(1/12)-1))^12-1)/((1+'Your plan'!C11/100)^(1/12)-1))*(1+((1+'Your plan'!C11/100)^(1/12)-1))-'Your plan'!C14*12,MAX(0,(N(G74))-'Your plan'!C9*12*(1+'Your plan'!C10/100)^('Your plan'!C6+68-'Your plan'!C6))*'Your plan'!C12/100))</f>
      </c>
      <c r="F75" s="12">
        <f>IF('Your plan'!C6+68&gt;'Your plan'!C8,"",IF('Your plan'!C6+68&lt;'Your plan'!C7,0,'Your plan'!C9*12*(1+'Your plan'!C10/100)^('Your plan'!C6+68-'Your plan'!C6)))</f>
      </c>
      <c r="G75" s="22">
        <f>IF('Your plan'!C6+68&gt;'Your plan'!C8,"",IF('Your plan'!C6+68&lt;'Your plan'!C7,(N(G74))+D75+E75,MAX(0,(N(G74))-'Your plan'!C9*12*(1+'Your plan'!C10/100)^('Your plan'!C6+68-'Your plan'!C6))*(1+'Your plan'!C12/100)))</f>
      </c>
      <c r="H75" s="12">
        <f>IF('Your plan'!C6+68&gt;'Your plan'!C8,"",IF('Your plan'!C6+68&lt;'Your plan'!C7,0,IF('Your plan'!C6+68='Your plan'!C7,MAX(0,'Your plan'!C22-'Your plan'!C9*12*(1+'Your plan'!C10/100)^('Your plan'!C6+68-'Your plan'!C6))*(1+'Your plan'!C12/100),MAX(0,(N(H74))-'Your plan'!C9*12*(1+'Your plan'!C10/100)^('Your plan'!C6+68-'Your plan'!C6))*(1+'Your plan'!C12/100))))</f>
      </c>
    </row>
    <row r="76" spans="1:8" x14ac:dyDescent="0.25">
      <c r="A76" s="1"/>
      <c r="B76" s="26">
        <f>IF('Your plan'!C6+69&gt;'Your plan'!C8,"",'Your plan'!C6+69)</f>
      </c>
      <c r="C76" s="27">
        <f>IF('Your plan'!C6+69&gt;'Your plan'!C8,"",IF('Your plan'!C6+69&lt;'Your plan'!C7,"Working","Retired"))</f>
      </c>
      <c r="D76" s="12">
        <f>IF('Your plan'!C6+69&gt;'Your plan'!C8,"",IF('Your plan'!C6+69&lt;'Your plan'!C7,'Your plan'!C14*12,0))</f>
      </c>
      <c r="E76" s="12">
        <f>IF('Your plan'!C6+69&gt;'Your plan'!C8,"",IF('Your plan'!C6+69&lt;'Your plan'!C7,(N(G75))*((1+((1+'Your plan'!C11/100)^(1/12)-1))^12-1)+'Your plan'!C14*(((1+((1+'Your plan'!C11/100)^(1/12)-1))^12-1)/((1+'Your plan'!C11/100)^(1/12)-1))*(1+((1+'Your plan'!C11/100)^(1/12)-1))-'Your plan'!C14*12,MAX(0,(N(G75))-'Your plan'!C9*12*(1+'Your plan'!C10/100)^('Your plan'!C6+69-'Your plan'!C6))*'Your plan'!C12/100))</f>
      </c>
      <c r="F76" s="12">
        <f>IF('Your plan'!C6+69&gt;'Your plan'!C8,"",IF('Your plan'!C6+69&lt;'Your plan'!C7,0,'Your plan'!C9*12*(1+'Your plan'!C10/100)^('Your plan'!C6+69-'Your plan'!C6)))</f>
      </c>
      <c r="G76" s="22">
        <f>IF('Your plan'!C6+69&gt;'Your plan'!C8,"",IF('Your plan'!C6+69&lt;'Your plan'!C7,(N(G75))+D76+E76,MAX(0,(N(G75))-'Your plan'!C9*12*(1+'Your plan'!C10/100)^('Your plan'!C6+69-'Your plan'!C6))*(1+'Your plan'!C12/100)))</f>
      </c>
      <c r="H76" s="12">
        <f>IF('Your plan'!C6+69&gt;'Your plan'!C8,"",IF('Your plan'!C6+69&lt;'Your plan'!C7,0,IF('Your plan'!C6+69='Your plan'!C7,MAX(0,'Your plan'!C22-'Your plan'!C9*12*(1+'Your plan'!C10/100)^('Your plan'!C6+69-'Your plan'!C6))*(1+'Your plan'!C12/100),MAX(0,(N(H75))-'Your plan'!C9*12*(1+'Your plan'!C10/100)^('Your plan'!C6+69-'Your plan'!C6))*(1+'Your plan'!C12/100))))</f>
      </c>
    </row>
    <row r="77" spans="1:8" x14ac:dyDescent="0.25">
      <c r="A77" s="1"/>
      <c r="B77" s="1"/>
      <c r="C77" s="1"/>
      <c r="D77" s="1"/>
      <c r="E77" s="1"/>
      <c r="F77" s="1"/>
      <c r="G77" s="1"/>
      <c r="H77" s="1"/>
    </row>
    <row r="78" spans="1:8" x14ac:dyDescent="0.25">
      <c r="A78" s="1"/>
      <c r="B78" s="1"/>
      <c r="C78" s="1"/>
      <c r="D78" s="1"/>
      <c r="E78" s="1"/>
      <c r="F78" s="1"/>
      <c r="G78" s="1"/>
      <c r="H78" s="1"/>
    </row>
    <row r="79" spans="1:8" x14ac:dyDescent="0.25">
      <c r="A79" s="1"/>
      <c r="B79" s="1"/>
      <c r="C79" s="1"/>
      <c r="D79" s="1"/>
      <c r="E79" s="1"/>
      <c r="F79" s="1"/>
      <c r="G79" s="1"/>
      <c r="H79" s="1"/>
    </row>
    <row r="80" spans="1:8" x14ac:dyDescent="0.25">
      <c r="A80" s="1"/>
      <c r="B80" s="1"/>
      <c r="C80" s="1"/>
      <c r="D80" s="1"/>
      <c r="E80" s="1"/>
      <c r="F80" s="1"/>
      <c r="G80" s="1"/>
      <c r="H80" s="1"/>
    </row>
    <row r="81" spans="1:8" x14ac:dyDescent="0.25">
      <c r="A81" s="1"/>
      <c r="B81" s="1"/>
      <c r="C81" s="1"/>
      <c r="D81" s="1"/>
      <c r="E81" s="1"/>
      <c r="F81" s="1"/>
      <c r="G81" s="1"/>
      <c r="H81" s="1"/>
    </row>
    <row r="82" spans="1:8" x14ac:dyDescent="0.25">
      <c r="A82" s="1"/>
      <c r="B82" s="1"/>
      <c r="C82" s="1"/>
      <c r="D82" s="1"/>
      <c r="E82" s="1"/>
      <c r="F82" s="1"/>
      <c r="G82" s="1"/>
      <c r="H82" s="1"/>
    </row>
  </sheetData>
  <mergeCells count="1">
    <mergeCell ref="B4:H4"/>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3D2A"/>
  </sheetPr>
  <dimension ref="A1:H23"/>
  <sheetViews>
    <sheetView workbookViewId="0" showGridLines="0"/>
  </sheetViews>
  <sheetFormatPr defaultRowHeight="15" outlineLevelRow="0" outlineLevelCol="0" x14ac:dyDescent="55"/>
  <cols>
    <col min="1" max="1" width="3" customWidth="1"/>
    <col min="2" max="2" width="46" customWidth="1"/>
    <col min="3" max="3" width="20" customWidth="1"/>
    <col min="4" max="4" width="4" customWidth="1"/>
    <col min="5" max="5" width="52" customWidth="1"/>
    <col min="6" max="6" width="3" customWidth="1"/>
  </cols>
  <sheetData>
    <row r="1" spans="1:8" x14ac:dyDescent="0.25">
      <c r="A1" s="1"/>
      <c r="B1" s="1"/>
      <c r="C1" s="1"/>
      <c r="D1" s="1"/>
      <c r="E1" s="1"/>
      <c r="F1" s="1"/>
      <c r="G1" s="1"/>
      <c r="H1" s="1"/>
    </row>
    <row r="2" ht="26" customHeight="1" spans="1:8" x14ac:dyDescent="0.25">
      <c r="A2" s="1"/>
      <c r="B2" s="2" t="s">
        <v>61</v>
      </c>
      <c r="C2" s="1"/>
      <c r="D2" s="1"/>
      <c r="E2" s="1"/>
      <c r="F2" s="1"/>
      <c r="G2" s="1"/>
      <c r="H2" s="1"/>
    </row>
    <row r="3" ht="15" customHeight="1" spans="1:8" x14ac:dyDescent="0.25">
      <c r="A3" s="1"/>
      <c r="B3" s="3" t="s">
        <v>62</v>
      </c>
      <c r="C3" s="1"/>
      <c r="D3" s="1"/>
      <c r="E3" s="1"/>
      <c r="F3" s="1"/>
      <c r="G3" s="1"/>
      <c r="H3" s="1"/>
    </row>
    <row r="4" spans="1:8" x14ac:dyDescent="0.25">
      <c r="A4" s="1"/>
      <c r="B4" s="1"/>
      <c r="C4" s="1"/>
      <c r="D4" s="1"/>
      <c r="E4" s="1"/>
      <c r="F4" s="1"/>
      <c r="G4" s="1"/>
      <c r="H4" s="1"/>
    </row>
    <row r="5" ht="22" customHeight="1" spans="1:8" x14ac:dyDescent="0.25">
      <c r="A5" s="1"/>
      <c r="B5" s="4" t="s">
        <v>63</v>
      </c>
      <c r="C5" s="4"/>
      <c r="D5" s="1"/>
      <c r="E5" s="1"/>
      <c r="F5" s="1"/>
      <c r="G5" s="1"/>
      <c r="H5" s="1"/>
    </row>
    <row r="6" spans="1:8" x14ac:dyDescent="0.25">
      <c r="A6" s="1"/>
      <c r="B6" s="5" t="s">
        <v>64</v>
      </c>
      <c r="C6" s="12">
        <f>'Your plan'!C22</f>
      </c>
      <c r="D6" s="1"/>
      <c r="E6" s="28" t="s">
        <v>65</v>
      </c>
      <c r="F6" s="1"/>
      <c r="G6" s="1"/>
      <c r="H6" s="1"/>
    </row>
    <row r="7" spans="1:8" x14ac:dyDescent="0.25">
      <c r="A7" s="1"/>
      <c r="B7" s="5" t="s">
        <v>66</v>
      </c>
      <c r="C7" s="18">
        <f>'Your plan'!C15</f>
      </c>
      <c r="D7" s="1"/>
      <c r="E7" s="28"/>
      <c r="F7" s="1"/>
      <c r="G7" s="1"/>
      <c r="H7" s="1"/>
    </row>
    <row r="8" spans="1:8" x14ac:dyDescent="0.25">
      <c r="A8" s="1"/>
      <c r="B8" s="5" t="s">
        <v>67</v>
      </c>
      <c r="C8" s="12">
        <f>'Your plan'!C22*'Your plan'!C15/100</f>
      </c>
      <c r="D8" s="1"/>
      <c r="E8" s="28"/>
      <c r="F8" s="1"/>
      <c r="G8" s="1"/>
      <c r="H8" s="1"/>
    </row>
    <row r="9" spans="1:8" x14ac:dyDescent="0.25">
      <c r="A9" s="1"/>
      <c r="B9" s="5" t="s">
        <v>68</v>
      </c>
      <c r="C9" s="22">
        <f>'Your plan'!C22*'Your plan'!C15/100*0.2</f>
      </c>
      <c r="D9" s="1"/>
      <c r="E9" s="28"/>
      <c r="F9" s="1"/>
      <c r="G9" s="1"/>
      <c r="H9" s="1"/>
    </row>
    <row r="10" spans="1:8" x14ac:dyDescent="0.25">
      <c r="A10" s="1"/>
      <c r="B10" s="5" t="s">
        <v>69</v>
      </c>
      <c r="C10" s="22">
        <f>'Your plan'!C22*'Your plan'!C15/100*0.2/12</f>
      </c>
      <c r="D10" s="1"/>
      <c r="E10" s="28"/>
      <c r="F10" s="1"/>
      <c r="G10" s="1"/>
      <c r="H10" s="1"/>
    </row>
    <row r="11" spans="1:8" x14ac:dyDescent="0.25">
      <c r="A11" s="1"/>
      <c r="B11" s="1"/>
      <c r="C11" s="1"/>
      <c r="D11" s="1"/>
      <c r="E11" s="28"/>
      <c r="F11" s="1"/>
      <c r="G11" s="1"/>
      <c r="H11" s="1"/>
    </row>
    <row r="12" ht="22" customHeight="1" spans="1:8" x14ac:dyDescent="0.25">
      <c r="A12" s="1"/>
      <c r="B12" s="4" t="s">
        <v>70</v>
      </c>
      <c r="C12" s="4"/>
      <c r="D12" s="1"/>
      <c r="E12" s="28"/>
      <c r="F12" s="1"/>
      <c r="G12" s="1"/>
      <c r="H12" s="1"/>
    </row>
    <row r="13" ht="30" customHeight="1" spans="1:8" x14ac:dyDescent="0.25">
      <c r="A13" s="1"/>
      <c r="B13" s="17" t="s">
        <v>71</v>
      </c>
      <c r="C13" s="17" t="s">
        <v>72</v>
      </c>
      <c r="D13" s="1"/>
      <c r="E13" s="28"/>
      <c r="F13" s="1"/>
      <c r="G13" s="1"/>
      <c r="H13" s="1"/>
    </row>
    <row r="14" spans="1:8" x14ac:dyDescent="0.25">
      <c r="A14" s="1"/>
      <c r="B14" s="29">
        <v>5</v>
      </c>
      <c r="C14" s="12">
        <f>C10/(1+'Your plan'!C10/100)^5</f>
      </c>
      <c r="D14" s="1"/>
      <c r="E14" s="28"/>
      <c r="F14" s="1"/>
      <c r="G14" s="1"/>
      <c r="H14" s="1"/>
    </row>
    <row r="15" spans="1:8" x14ac:dyDescent="0.25">
      <c r="A15" s="1"/>
      <c r="B15" s="29">
        <v>10</v>
      </c>
      <c r="C15" s="12">
        <f>C10/(1+'Your plan'!C10/100)^10</f>
      </c>
      <c r="D15" s="1"/>
      <c r="E15" s="28"/>
      <c r="F15" s="1"/>
      <c r="G15" s="1"/>
      <c r="H15" s="1"/>
    </row>
    <row r="16" spans="1:8" x14ac:dyDescent="0.25">
      <c r="A16" s="1"/>
      <c r="B16" s="29">
        <v>20</v>
      </c>
      <c r="C16" s="22">
        <f>C10/(1+'Your plan'!C10/100)^20</f>
      </c>
      <c r="D16" s="1"/>
      <c r="E16" s="28"/>
      <c r="F16" s="1"/>
      <c r="G16" s="1"/>
      <c r="H16" s="1"/>
    </row>
    <row r="17" spans="1:8" x14ac:dyDescent="0.25">
      <c r="A17" s="1"/>
      <c r="B17" s="29">
        <v>30</v>
      </c>
      <c r="C17" s="22">
        <f>C10/(1+'Your plan'!C10/100)^30</f>
      </c>
      <c r="D17" s="1"/>
      <c r="E17" s="28"/>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sheetData>
  <mergeCells count="3">
    <mergeCell ref="B5:C5"/>
    <mergeCell ref="E6:E17"/>
    <mergeCell ref="B12:C1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B6E47"/>
  </sheetPr>
  <dimension ref="A1:H34"/>
  <sheetViews>
    <sheetView workbookViewId="0" showGridLines="0"/>
  </sheetViews>
  <sheetFormatPr defaultRowHeight="15" outlineLevelRow="0" outlineLevelCol="0" x14ac:dyDescent="55"/>
  <cols>
    <col min="1" max="1" width="3" customWidth="1"/>
    <col min="2" max="2" width="34" customWidth="1"/>
    <col min="3" max="3" width="84" customWidth="1"/>
    <col min="4" max="4" width="3" customWidth="1"/>
  </cols>
  <sheetData>
    <row r="1" spans="1:8" x14ac:dyDescent="0.25">
      <c r="A1" s="1"/>
      <c r="B1" s="1"/>
      <c r="C1" s="1"/>
      <c r="D1" s="1"/>
      <c r="E1" s="1"/>
      <c r="F1" s="1"/>
      <c r="G1" s="1"/>
      <c r="H1" s="1"/>
    </row>
    <row r="2" ht="26" customHeight="1" spans="1:8" x14ac:dyDescent="0.25">
      <c r="A2" s="1"/>
      <c r="B2" s="2" t="s">
        <v>73</v>
      </c>
      <c r="C2" s="1"/>
      <c r="D2" s="1"/>
      <c r="E2" s="1"/>
      <c r="F2" s="1"/>
      <c r="G2" s="1"/>
      <c r="H2" s="1"/>
    </row>
    <row r="3" spans="1:8" x14ac:dyDescent="0.25">
      <c r="A3" s="1"/>
      <c r="B3" s="1"/>
      <c r="C3" s="1"/>
      <c r="D3" s="1"/>
      <c r="E3" s="1"/>
      <c r="F3" s="1"/>
      <c r="G3" s="1"/>
      <c r="H3" s="1"/>
    </row>
    <row r="4" ht="22" customHeight="1" spans="1:8" x14ac:dyDescent="0.25">
      <c r="A4" s="1"/>
      <c r="B4" s="4" t="s">
        <v>74</v>
      </c>
      <c r="C4" s="4"/>
      <c r="D4" s="1"/>
      <c r="E4" s="1"/>
      <c r="F4" s="1"/>
      <c r="G4" s="1"/>
      <c r="H4" s="1"/>
    </row>
    <row r="5" ht="58" customHeight="1" spans="1:8" x14ac:dyDescent="0.25">
      <c r="A5" s="1"/>
      <c r="B5" s="30" t="s">
        <v>75</v>
      </c>
      <c r="C5" s="8" t="s">
        <v>76</v>
      </c>
      <c r="D5" s="1"/>
      <c r="E5" s="1"/>
      <c r="F5" s="1"/>
      <c r="G5" s="1"/>
      <c r="H5" s="1"/>
    </row>
    <row r="6" spans="1:8" x14ac:dyDescent="0.25">
      <c r="A6" s="1"/>
      <c r="B6" s="1"/>
      <c r="C6" s="1"/>
      <c r="D6" s="1"/>
      <c r="E6" s="1"/>
      <c r="F6" s="1"/>
      <c r="G6" s="1"/>
      <c r="H6" s="1"/>
    </row>
    <row r="7" ht="58" customHeight="1" spans="1:8" x14ac:dyDescent="0.25">
      <c r="A7" s="1"/>
      <c r="B7" s="30" t="s">
        <v>77</v>
      </c>
      <c r="C7" s="8" t="s">
        <v>78</v>
      </c>
      <c r="D7" s="1"/>
      <c r="E7" s="1"/>
      <c r="F7" s="1"/>
      <c r="G7" s="1"/>
      <c r="H7" s="1"/>
    </row>
    <row r="8" spans="1:8" x14ac:dyDescent="0.25">
      <c r="A8" s="1"/>
      <c r="B8" s="1"/>
      <c r="C8" s="1"/>
      <c r="D8" s="1"/>
      <c r="E8" s="1"/>
      <c r="F8" s="1"/>
      <c r="G8" s="1"/>
      <c r="H8" s="1"/>
    </row>
    <row r="9" ht="58" customHeight="1" spans="1:8" x14ac:dyDescent="0.25">
      <c r="A9" s="1"/>
      <c r="B9" s="30" t="s">
        <v>79</v>
      </c>
      <c r="C9" s="8" t="s">
        <v>80</v>
      </c>
      <c r="D9" s="1"/>
      <c r="E9" s="1"/>
      <c r="F9" s="1"/>
      <c r="G9" s="1"/>
      <c r="H9" s="1"/>
    </row>
    <row r="10" spans="1:8" x14ac:dyDescent="0.25">
      <c r="A10" s="1"/>
      <c r="B10" s="1"/>
      <c r="C10" s="1"/>
      <c r="D10" s="1"/>
      <c r="E10" s="1"/>
      <c r="F10" s="1"/>
      <c r="G10" s="1"/>
      <c r="H10" s="1"/>
    </row>
    <row r="11" ht="58" customHeight="1" spans="1:8" x14ac:dyDescent="0.25">
      <c r="A11" s="1"/>
      <c r="B11" s="30" t="s">
        <v>81</v>
      </c>
      <c r="C11" s="8" t="s">
        <v>82</v>
      </c>
      <c r="D11" s="1"/>
      <c r="E11" s="1"/>
      <c r="F11" s="1"/>
      <c r="G11" s="1"/>
      <c r="H11" s="1"/>
    </row>
    <row r="12" spans="1:8" x14ac:dyDescent="0.25">
      <c r="A12" s="1"/>
      <c r="B12" s="1"/>
      <c r="C12" s="1"/>
      <c r="D12" s="1"/>
      <c r="E12" s="1"/>
      <c r="F12" s="1"/>
      <c r="G12" s="1"/>
      <c r="H12" s="1"/>
    </row>
    <row r="13" ht="58" customHeight="1" spans="1:8" x14ac:dyDescent="0.25">
      <c r="A13" s="1"/>
      <c r="B13" s="30" t="s">
        <v>83</v>
      </c>
      <c r="C13" s="8" t="s">
        <v>84</v>
      </c>
      <c r="D13" s="1"/>
      <c r="E13" s="1"/>
      <c r="F13" s="1"/>
      <c r="G13" s="1"/>
      <c r="H13" s="1"/>
    </row>
    <row r="14" spans="1:8" x14ac:dyDescent="0.25">
      <c r="A14" s="1"/>
      <c r="B14" s="1"/>
      <c r="C14" s="1"/>
      <c r="D14" s="1"/>
      <c r="E14" s="1"/>
      <c r="F14" s="1"/>
      <c r="G14" s="1"/>
      <c r="H14" s="1"/>
    </row>
    <row r="15" spans="1:8" x14ac:dyDescent="0.25">
      <c r="A15" s="1"/>
      <c r="B15" s="1"/>
      <c r="C15" s="1"/>
      <c r="D15" s="1"/>
      <c r="E15" s="1"/>
      <c r="F15" s="1"/>
      <c r="G15" s="1"/>
      <c r="H15" s="1"/>
    </row>
    <row r="16" ht="22" customHeight="1" spans="1:8" x14ac:dyDescent="0.25">
      <c r="A16" s="1"/>
      <c r="B16" s="4" t="s">
        <v>85</v>
      </c>
      <c r="C16" s="4"/>
      <c r="D16" s="1"/>
      <c r="E16" s="1"/>
      <c r="F16" s="1"/>
      <c r="G16" s="1"/>
      <c r="H16" s="1"/>
    </row>
    <row r="17" ht="48" customHeight="1" spans="1:8" x14ac:dyDescent="0.25">
      <c r="A17" s="1"/>
      <c r="B17" s="31" t="s">
        <v>86</v>
      </c>
      <c r="C17" s="8" t="s">
        <v>87</v>
      </c>
      <c r="D17" s="1"/>
      <c r="E17" s="1"/>
      <c r="F17" s="1"/>
      <c r="G17" s="1"/>
      <c r="H17" s="1"/>
    </row>
    <row r="18" spans="1:8" x14ac:dyDescent="0.25">
      <c r="A18" s="1"/>
      <c r="B18" s="1"/>
      <c r="C18" s="1"/>
      <c r="D18" s="1"/>
      <c r="E18" s="1"/>
      <c r="F18" s="1"/>
      <c r="G18" s="1"/>
      <c r="H18" s="1"/>
    </row>
    <row r="19" ht="48" customHeight="1" spans="1:8" x14ac:dyDescent="0.25">
      <c r="A19" s="1"/>
      <c r="B19" s="31" t="s">
        <v>88</v>
      </c>
      <c r="C19" s="8" t="s">
        <v>89</v>
      </c>
      <c r="D19" s="1"/>
      <c r="E19" s="1"/>
      <c r="F19" s="1"/>
      <c r="G19" s="1"/>
      <c r="H19" s="1"/>
    </row>
    <row r="20" spans="1:8" x14ac:dyDescent="0.25">
      <c r="A20" s="1"/>
      <c r="B20" s="1"/>
      <c r="C20" s="1"/>
      <c r="D20" s="1"/>
      <c r="E20" s="1"/>
      <c r="F20" s="1"/>
      <c r="G20" s="1"/>
      <c r="H20" s="1"/>
    </row>
    <row r="21" ht="48" customHeight="1" spans="1:8" x14ac:dyDescent="0.25">
      <c r="A21" s="1"/>
      <c r="B21" s="31" t="s">
        <v>90</v>
      </c>
      <c r="C21" s="8" t="s">
        <v>91</v>
      </c>
      <c r="D21" s="1"/>
      <c r="E21" s="1"/>
      <c r="F21" s="1"/>
      <c r="G21" s="1"/>
      <c r="H21" s="1"/>
    </row>
    <row r="22" spans="1:8" x14ac:dyDescent="0.25">
      <c r="A22" s="1"/>
      <c r="B22" s="1"/>
      <c r="C22" s="1"/>
      <c r="D22" s="1"/>
      <c r="E22" s="1"/>
      <c r="F22" s="1"/>
      <c r="G22" s="1"/>
      <c r="H22" s="1"/>
    </row>
    <row r="23" ht="48" customHeight="1" spans="1:8" x14ac:dyDescent="0.25">
      <c r="A23" s="1"/>
      <c r="B23" s="31" t="s">
        <v>92</v>
      </c>
      <c r="C23" s="8" t="s">
        <v>93</v>
      </c>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row r="26" ht="34" customHeight="1" spans="1:8" x14ac:dyDescent="0.25">
      <c r="A26" s="1"/>
      <c r="B26" s="16" t="s">
        <v>94</v>
      </c>
      <c r="C26" s="16"/>
      <c r="D26" s="1"/>
      <c r="E26" s="1"/>
      <c r="F26" s="1"/>
      <c r="G26" s="1"/>
      <c r="H26" s="1"/>
    </row>
    <row r="27" spans="1:8" x14ac:dyDescent="0.25">
      <c r="A27" s="1"/>
      <c r="B27" s="1"/>
      <c r="C27" s="1"/>
      <c r="D27" s="1"/>
      <c r="E27" s="1"/>
      <c r="F27" s="1"/>
      <c r="G27" s="1"/>
      <c r="H27" s="1"/>
    </row>
    <row r="28" spans="1:8" x14ac:dyDescent="0.25">
      <c r="A28" s="1"/>
      <c r="B28" s="3" t="s">
        <v>95</v>
      </c>
      <c r="C28" s="3"/>
      <c r="D28" s="1"/>
      <c r="E28" s="1"/>
      <c r="F28" s="1"/>
      <c r="G28" s="1"/>
      <c r="H28" s="1"/>
    </row>
    <row r="29" spans="1:8" x14ac:dyDescent="0.25">
      <c r="A29" s="1"/>
      <c r="B29" s="1"/>
      <c r="C29" s="1"/>
      <c r="D29" s="1"/>
      <c r="E29" s="1"/>
      <c r="F29" s="1"/>
      <c r="G29" s="1"/>
      <c r="H29" s="1"/>
    </row>
    <row r="30" spans="1:8" x14ac:dyDescent="0.25">
      <c r="A30" s="1"/>
      <c r="B30" s="1"/>
      <c r="C30" s="1"/>
      <c r="D30" s="1"/>
      <c r="E30" s="1"/>
      <c r="F30" s="1"/>
      <c r="G30" s="1"/>
      <c r="H30" s="1"/>
    </row>
    <row r="31" spans="1:8" x14ac:dyDescent="0.25">
      <c r="A31" s="1"/>
      <c r="B31" s="1"/>
      <c r="C31" s="1"/>
      <c r="D31" s="1"/>
      <c r="E31" s="1"/>
      <c r="F31" s="1"/>
      <c r="G31" s="1"/>
      <c r="H31" s="1"/>
    </row>
    <row r="32" spans="1:8" x14ac:dyDescent="0.25">
      <c r="A32" s="1"/>
      <c r="B32" s="1"/>
      <c r="C32" s="1"/>
      <c r="D32" s="1"/>
      <c r="E32" s="1"/>
      <c r="F32" s="1"/>
      <c r="G32" s="1"/>
      <c r="H32" s="1"/>
    </row>
    <row r="33" spans="1:8" x14ac:dyDescent="0.25">
      <c r="A33" s="1"/>
      <c r="B33" s="1"/>
      <c r="C33" s="1"/>
      <c r="D33" s="1"/>
      <c r="E33" s="1"/>
      <c r="F33" s="1"/>
      <c r="G33" s="1"/>
      <c r="H33" s="1"/>
    </row>
    <row r="34" spans="1:8" x14ac:dyDescent="0.25">
      <c r="A34" s="1"/>
      <c r="B34" s="1"/>
      <c r="C34" s="1"/>
      <c r="D34" s="1"/>
      <c r="E34" s="1"/>
      <c r="F34" s="1"/>
      <c r="G34" s="1"/>
      <c r="H34" s="1"/>
    </row>
  </sheetData>
  <mergeCells count="4">
    <mergeCell ref="B4:C4"/>
    <mergeCell ref="B16:C16"/>
    <mergeCell ref="B26:C26"/>
    <mergeCell ref="B28:C28"/>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Your plan</vt:lpstr>
      <vt:lpstr>The one number that matters</vt:lpstr>
      <vt:lpstr>Year by year</vt:lpstr>
      <vt:lpstr>NPS annuity lock</vt:lpstr>
      <vt:lpstr>Notes and sources</vt:lpstr>
    </vt:vector>
  </TitlesOfParts>
  <Company>The Money Decoded</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 Money Decoded</dc:creator>
  <dc:title/>
  <dc:subject/>
  <dc:description/>
  <cp:keywords/>
  <cp:category/>
  <cp:lastModifiedBy>Unknown</cp:lastModifiedBy>
  <dcterms:created xsi:type="dcterms:W3CDTF">2026-08-27T00:00:00Z</dcterms:created>
  <dcterms:modified xsi:type="dcterms:W3CDTF">2026-08-27T00:00:00Z</dcterms:modified>
</cp:coreProperties>
</file>